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9426 Астрономия 5 класс" sheetId="1" state="visible" r:id="rId3"/>
    <sheet name="19427 Астрономия 6 класс" sheetId="2" state="visible" r:id="rId4"/>
    <sheet name="19428 Астрономия 7 класс" sheetId="3" state="visible" r:id="rId5"/>
    <sheet name="19429 Астрономия 8 класс" sheetId="4" state="visible" r:id="rId6"/>
    <sheet name="19430 Астрономия 9 класс" sheetId="5" state="visible" r:id="rId7"/>
    <sheet name="19431 Астрономия 10 класс" sheetId="6" state="visible" r:id="rId8"/>
    <sheet name="19432 Астрономия 11 класс" sheetId="7" state="visible" r:id="rId9"/>
    <sheet name="TimeZones" sheetId="8" state="veryHidden" r:id="rId10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<sst xmlns="http://schemas.openxmlformats.org/spreadsheetml/2006/main">
  <si>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</si>
  <si>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19426/edu633737/5/327wz38r</t>
  </si>
  <si>
    <t>19426/edu633737/5/358q267v</t>
  </si>
  <si>
    <t>19426/edu633737/5/358q368v</t>
  </si>
  <si>
    <t>19426/edu633737/5/358q67vq</t>
  </si>
  <si>
    <t>19426/edu633737/5/358qg68v</t>
  </si>
  <si>
    <t>19426/edu633737/5/3q7rvz7z</t>
  </si>
  <si>
    <t>19426/edu633737/5/6575rz8v</t>
  </si>
  <si>
    <t>19426/edu633737/5/gr7vqq86</t>
  </si>
  <si>
    <t>19426/edu633737/5/r274rr7w</t>
  </si>
  <si>
    <t>19426/edu633737/5/r4892753</t>
  </si>
  <si>
    <t>19426/edu633737/5/r489z275</t>
  </si>
  <si>
    <t>19426/edu633737/5/vw736842</t>
  </si>
  <si>
    <t>19426/edu633737/5/zr8z9g7v</t>
  </si>
  <si>
    <t>19427/edu633737/6/324w2v7g</t>
  </si>
  <si>
    <t>19427/edu633737/6/324w8z7g</t>
  </si>
  <si>
    <t>19427/edu633737/6/324wqv4g</t>
  </si>
  <si>
    <t>19427/edu633737/6/324wrv7g</t>
  </si>
  <si>
    <t>19427/edu633737/6/8r7gq76w</t>
  </si>
  <si>
    <t>19427/edu633737/6/8z758z4r</t>
  </si>
  <si>
    <t>19427/edu633737/6/8z75qz7r</t>
  </si>
  <si>
    <t>19427/edu633737/6/937v6675</t>
  </si>
  <si>
    <t>19427/edu633737/6/937vqq45</t>
  </si>
  <si>
    <t>19427/edu633737/6/937vrq75</t>
  </si>
  <si>
    <t>19427/edu633737/6/937vwq45</t>
  </si>
  <si>
    <t>19427/edu633737/6/gw49827r</t>
  </si>
  <si>
    <t>19427/edu633737/6/gw49964r</t>
  </si>
  <si>
    <t>19427/edu633737/6/gw49q24r</t>
  </si>
  <si>
    <t>19427/edu633737/6/gw49r27r</t>
  </si>
  <si>
    <t>19427/edu633737/6/gw49w64r</t>
  </si>
  <si>
    <t>19427/edu633737/6/q342g679</t>
  </si>
  <si>
    <t>19427/edu633737/6/q342r649</t>
  </si>
  <si>
    <t>19427/edu633737/6/q342v649</t>
  </si>
  <si>
    <t>19427/edu633737/6/q84qrv73</t>
  </si>
  <si>
    <t>19427/edu633737/6/q84qww43</t>
  </si>
  <si>
    <t>19427/edu633737/6/qr463375</t>
  </si>
  <si>
    <t>19427/edu633737/6/qr463752</t>
  </si>
  <si>
    <t>19427/edu633737/6/qr466345</t>
  </si>
  <si>
    <t>19427/edu633737/6/qr469375</t>
  </si>
  <si>
    <t>19427/edu633737/6/qr46w375</t>
  </si>
  <si>
    <t>19427/edu633737/6/v27r5z46</t>
  </si>
  <si>
    <t>19427/edu633737/6/v27rqz46</t>
  </si>
  <si>
    <t>19427/edu633737/6/v27rwz46</t>
  </si>
  <si>
    <t>19427/edu633737/6/v27rz76r</t>
  </si>
  <si>
    <t>19427/edu633737/6/v6735w75</t>
  </si>
  <si>
    <t>19427/edu633737/6/v673rw45</t>
  </si>
  <si>
    <t>19427/edu633737/6/v673vw45</t>
  </si>
  <si>
    <t>19427/edu633737/6/v673ww75</t>
  </si>
  <si>
    <t>19427/edu633737/6/v673zw45</t>
  </si>
  <si>
    <t>19427/edu633737/6/wr783543</t>
  </si>
  <si>
    <t>19427/edu633737/6/wr783r43</t>
  </si>
  <si>
    <t>19427/edu633737/6/wr78r735</t>
  </si>
  <si>
    <t>19427/edu633737/6/wr78wr43</t>
  </si>
  <si>
    <t>19427/edu633737/6/zr4z5g78</t>
  </si>
  <si>
    <t>19427/edu633737/6/zr4zg783</t>
  </si>
  <si>
    <t>19428/edu633737/7/3qwr2zwr</t>
  </si>
  <si>
    <t>19428/edu633737/7/3qwr5z8r</t>
  </si>
  <si>
    <t>19428/edu633737/7/3qwr6zwr</t>
  </si>
  <si>
    <t>19428/edu633737/7/3qwr7z8r</t>
  </si>
  <si>
    <t>19428/edu633737/7/3qwrgz8r</t>
  </si>
  <si>
    <t>19428/edu633737/7/3qwrqz8r</t>
  </si>
  <si>
    <t>19428/edu633737/7/3qwrvzwr</t>
  </si>
  <si>
    <t>19428/edu633737/7/3qwrzwr6</t>
  </si>
  <si>
    <t>19428/edu633737/7/42w42rw9</t>
  </si>
  <si>
    <t>19428/edu633737/7/42w4rrw9</t>
  </si>
  <si>
    <t>19428/edu633737/7/4rwg5qw7</t>
  </si>
  <si>
    <t>19428/edu633737/7/4rwgrq87</t>
  </si>
  <si>
    <t>19428/edu633737/7/4zw5qzwr</t>
  </si>
  <si>
    <t>19428/edu633737/7/5g8633wz</t>
  </si>
  <si>
    <t>19428/edu633737/7/5g8673wz</t>
  </si>
  <si>
    <t>19428/edu633737/7/5g8693wz</t>
  </si>
  <si>
    <t>19428/edu633737/7/5g86r38z</t>
  </si>
  <si>
    <t>19428/edu633737/7/5g86v38z</t>
  </si>
  <si>
    <t>19428/edu633737/7/9v8763wq</t>
  </si>
  <si>
    <t>19428/edu633737/7/g7892w5q</t>
  </si>
  <si>
    <t>19428/edu633737/7/grwv2qw6</t>
  </si>
  <si>
    <t>19428/edu633737/7/grwv9q86</t>
  </si>
  <si>
    <t>19428/edu633737/7/q38236wz</t>
  </si>
  <si>
    <t>19428/edu633737/7/q38268z7</t>
  </si>
  <si>
    <t>19428/edu633737/7/q48q27w2</t>
  </si>
  <si>
    <t>19428/edu633737/7/q48q5782</t>
  </si>
  <si>
    <t>19428/edu633737/7/q48q7782</t>
  </si>
  <si>
    <t>19428/edu633737/7/q48q782r</t>
  </si>
  <si>
    <t>19428/edu633737/7/q48qz7w2</t>
  </si>
  <si>
    <t>19428/edu633737/7/v6w36782</t>
  </si>
  <si>
    <t>19428/edu633737/7/v6w3r782</t>
  </si>
  <si>
    <t>19428/edu633737/7/v6w3z782</t>
  </si>
  <si>
    <t>19428/edu633737/7/zr8z5gwv</t>
  </si>
  <si>
    <t>19428/edu633737/7/zr8z6g8v</t>
  </si>
  <si>
    <t>19428/edu633737/7/zr8z7gwv</t>
  </si>
  <si>
    <t>19428/edu633737/7/zr8zgwv6</t>
  </si>
  <si>
    <t>19428/edu633737/7/zr8zvg8v</t>
  </si>
  <si>
    <t>19429/edu633737/8/326w3365</t>
  </si>
  <si>
    <t>19429/edu633737/8/326w365v</t>
  </si>
  <si>
    <t>19429/edu633737/8/326w5365</t>
  </si>
  <si>
    <t>19429/edu633737/8/326wr345</t>
  </si>
  <si>
    <t>19429/edu633737/8/326wz345</t>
  </si>
  <si>
    <t>19429/edu633737/8/354q374v</t>
  </si>
  <si>
    <t>19429/edu633737/8/354q774v</t>
  </si>
  <si>
    <t>19429/edu633737/8/354qg74v</t>
  </si>
  <si>
    <t>19429/edu633737/8/75652z4q</t>
  </si>
  <si>
    <t>19429/edu633737/8/75658z4q</t>
  </si>
  <si>
    <t>19429/edu633737/8/7565rz4q</t>
  </si>
  <si>
    <t>19429/edu633737/8/8r6g2q4q</t>
  </si>
  <si>
    <t>19429/edu633737/8/8r6g5q6q</t>
  </si>
  <si>
    <t>19429/edu633737/8/8r6g7q6q</t>
  </si>
  <si>
    <t>19429/edu633737/8/8r6ggq6q</t>
  </si>
  <si>
    <t>19429/edu633737/8/8r6grq4q</t>
  </si>
  <si>
    <t>19429/edu633737/8/8r6gzq4q</t>
  </si>
  <si>
    <t>19429/edu633737/8/936v2q67</t>
  </si>
  <si>
    <t>19429/edu633737/8/936v3q47</t>
  </si>
  <si>
    <t>19429/edu633737/8/936vq475</t>
  </si>
  <si>
    <t>19429/edu633737/8/936vrq67</t>
  </si>
  <si>
    <t>19429/edu633737/8/9v475342</t>
  </si>
  <si>
    <t>19429/edu633737/8/9v47r362</t>
  </si>
  <si>
    <t>19429/edu633737/8/9v47v362</t>
  </si>
  <si>
    <t>19429/edu633737/8/9v47w342</t>
  </si>
  <si>
    <t>19429/edu633737/8/9v47z362</t>
  </si>
  <si>
    <t>19429/edu633737/8/q3429w6z</t>
  </si>
  <si>
    <t>19429/edu633737/8/r84926v5</t>
  </si>
  <si>
    <t>19429/edu633737/8/r849324v</t>
  </si>
  <si>
    <t>19429/edu633737/8/r849g24v</t>
  </si>
  <si>
    <t>19429/edu633737/8/r849r26v</t>
  </si>
  <si>
    <t>19429/edu633737/8/v26r7z4w</t>
  </si>
  <si>
    <t>19429/edu633737/8/v26rgz4w</t>
  </si>
  <si>
    <t>19429/edu633737/8/vr68r67g</t>
  </si>
  <si>
    <t>19429/edu633737/8/vw6376g2</t>
  </si>
  <si>
    <t>19429/edu633737/8/vw63776g</t>
  </si>
  <si>
    <t>19429/edu633737/8/vw63v74g</t>
  </si>
  <si>
    <t>19429/edu633737/8/zr4z5g63</t>
  </si>
  <si>
    <t>19429/edu633737/8/zr4z7g63</t>
  </si>
  <si>
    <t>19429/edu633737/8/zr4z9g63</t>
  </si>
  <si>
    <t>19429/edu633737/8/zr4zgg63</t>
  </si>
  <si>
    <t>19429/edu633737/8/zr4zrg43</t>
  </si>
  <si>
    <t>19430/edu633737/9/327wqv75</t>
  </si>
  <si>
    <t>19430/edu633737/9/327wzv85</t>
  </si>
  <si>
    <t>19430/edu633737/9/3q8rqz75</t>
  </si>
  <si>
    <t>19430/edu633737/9/3q8rwz75</t>
  </si>
  <si>
    <t>19430/edu633737/9/3q8rz854</t>
  </si>
  <si>
    <t>19430/edu633737/9/4r8g2q76</t>
  </si>
  <si>
    <t>19430/edu633737/9/4r8ggq86</t>
  </si>
  <si>
    <t>19430/edu633737/9/4r8gwq86</t>
  </si>
  <si>
    <t>19430/edu633737/9/4r8gzq76</t>
  </si>
  <si>
    <t>19430/edu633737/9/4z854z7v</t>
  </si>
  <si>
    <t>19430/edu633737/9/4z85rz7v</t>
  </si>
  <si>
    <t>19430/edu633737/9/5g762379</t>
  </si>
  <si>
    <t>19430/edu633737/9/5g763892</t>
  </si>
  <si>
    <t>19430/edu633737/9/5g76g389</t>
  </si>
  <si>
    <t>19430/edu633737/9/5g76r379</t>
  </si>
  <si>
    <t>19430/edu633737/9/5g76w389</t>
  </si>
  <si>
    <t>19430/edu633737/9/gr8v3q76</t>
  </si>
  <si>
    <t>19430/edu633737/9/gr8vqq76</t>
  </si>
  <si>
    <t>19430/edu633737/9/gw79285q</t>
  </si>
  <si>
    <t>19430/edu633737/9/gw793275</t>
  </si>
  <si>
    <t>19430/edu633737/9/gw795275</t>
  </si>
  <si>
    <t>19430/edu633737/9/q372679w</t>
  </si>
  <si>
    <t>19430/edu633737/9/q3729689</t>
  </si>
  <si>
    <t>19430/edu633737/9/q372g689</t>
  </si>
  <si>
    <t>19430/edu633737/9/q372r679</t>
  </si>
  <si>
    <t>19430/edu633737/9/q372w689</t>
  </si>
  <si>
    <t>19430/edu633737/9/q47q9w73</t>
  </si>
  <si>
    <t>19430/edu633737/9/q47qgw73</t>
  </si>
  <si>
    <t>19430/edu633737/9/r2846r8v</t>
  </si>
  <si>
    <t>19430/edu633737/9/r2849r7v</t>
  </si>
  <si>
    <t>19430/edu633737/9/v683ww85</t>
  </si>
  <si>
    <t>19430/edu633737/9/zr7z5g84</t>
  </si>
  <si>
    <t>19430/edu633737/9/zr7zg843</t>
  </si>
  <si>
    <t>19430/edu633737/9/zr7zgg84</t>
  </si>
  <si>
    <t>19431/edu633737/10/327wq375</t>
  </si>
  <si>
    <t>19431/edu633737/10/356q4794</t>
  </si>
  <si>
    <t>19431/edu633737/10/8r7gq7w2</t>
  </si>
  <si>
    <t>19431/edu633737/10/g2744q74</t>
  </si>
  <si>
    <t>19431/edu633737/10/g274rq74</t>
  </si>
  <si>
    <t>19431/edu633737/10/q362w798</t>
  </si>
  <si>
    <t>19431/edu633737/10/r869g26v</t>
  </si>
  <si>
    <t>19431/edu633737/10/zr6zwg73</t>
  </si>
  <si>
    <t>19432/edu633737/11/326w5v6g</t>
  </si>
  <si>
    <t>19432/edu633737/11/9z6qw64w</t>
  </si>
  <si>
    <t>19432/edu633737/11/gr7vq69w</t>
  </si>
  <si>
    <t>19432/edu633737/11/q2752z6v</t>
  </si>
  <si>
    <t>19432/edu633737/11/r274rr7w</t>
  </si>
  <si>
    <t>UTC</t>
  </si>
  <si>
    <t>UTC (МСК-3, UTC)</t>
  </si>
  <si>
    <t>Айнулина Валерия Александровна</t>
  </si>
  <si>
    <t>Аксенов Ильдар Рустямович</t>
  </si>
  <si>
    <t>Анадырь</t>
  </si>
  <si>
    <t>Анадырь (МСК+9, UTC+12)</t>
  </si>
  <si>
    <t>Артюхина Злата Сергеевна</t>
  </si>
  <si>
    <t>Астрахань</t>
  </si>
  <si>
    <t>Астрахань (МСК+1, UTC+4)</t>
  </si>
  <si>
    <t>Бадьярова Эллина Алексеевна</t>
  </si>
  <si>
    <t>Балин Сергей</t>
  </si>
  <si>
    <t>Балонов Владимир Сергеевич</t>
  </si>
  <si>
    <t>Барнаул</t>
  </si>
  <si>
    <t>Барнаул (МСК+4, UTC+7)</t>
  </si>
  <si>
    <t>Белова София Сергеевна</t>
  </si>
  <si>
    <t>Белоусова Виктория Владимировна</t>
  </si>
  <si>
    <t>Белюков Никита Андреевич</t>
  </si>
  <si>
    <t>Белюкова Елена Андреевич</t>
  </si>
  <si>
    <t>Боклина Милана Сергеевна</t>
  </si>
  <si>
    <t>Болонина Дарина Вадимовна</t>
  </si>
  <si>
    <t>Бондарев Макар Дмитриевич</t>
  </si>
  <si>
    <t>Бондарь Илья Алексеевич</t>
  </si>
  <si>
    <t>Буканова Ульяна Александра</t>
  </si>
  <si>
    <t>Быков Игорь Дмитриевич</t>
  </si>
  <si>
    <t>Быков Матвей Дмитриевич</t>
  </si>
  <si>
    <t>Быковский Никита Владимирович</t>
  </si>
  <si>
    <t>Васильев Кирилл Сергеевич</t>
  </si>
  <si>
    <t>Владивосток</t>
  </si>
  <si>
    <t>Владивосток (МСК+7, UTC+10)</t>
  </si>
  <si>
    <t>Волгоград</t>
  </si>
  <si>
    <t>Волгоград (МСК, UTC+3)</t>
  </si>
  <si>
    <t>Волков Иван</t>
  </si>
  <si>
    <t>Воробьев Вадим Александрович</t>
  </si>
  <si>
    <t>Воронко Елизавета Андреевна</t>
  </si>
  <si>
    <t>Воронцов Саша Валерьевич</t>
  </si>
  <si>
    <t>Вьюшкова Софья Александровна</t>
  </si>
  <si>
    <t>ГУСЬКОВ Дмитрий Александрович</t>
  </si>
  <si>
    <t>Гаврилина Диана Олеговна</t>
  </si>
  <si>
    <t>Гаврилова Полина Максимовна</t>
  </si>
  <si>
    <t>Галиева Эвелина Ренатовна</t>
  </si>
  <si>
    <t>Гарагуля Максим Сергеевич</t>
  </si>
  <si>
    <t>Голиков Глеб Витальевич</t>
  </si>
  <si>
    <t>Голубчиков Павел Александрович</t>
  </si>
  <si>
    <t>Голубчикова Екатерина Павловна</t>
  </si>
  <si>
    <t>Голяков Алексей Павлович</t>
  </si>
  <si>
    <t>Горшкова Варвара Евгеньевна</t>
  </si>
  <si>
    <t>Грамота</t>
  </si>
  <si>
    <t>Гребнев Михаил Сергеевич</t>
  </si>
  <si>
    <t>Гришина Валерия Александровна</t>
  </si>
  <si>
    <t>Гурьева Серафима Алексеевна</t>
  </si>
  <si>
    <t>Денисова Ксения Максимовна</t>
  </si>
  <si>
    <t>Джалолова Мухиба Джахонгировна</t>
  </si>
  <si>
    <t>Дик Анастасия Николаевна</t>
  </si>
  <si>
    <t>Дик Георгий Николаевич</t>
  </si>
  <si>
    <t>Добрецова Кира Артемовна</t>
  </si>
  <si>
    <t>Долотовский Данил Сергеевич</t>
  </si>
  <si>
    <t>Дорогов Егор Алексеевич</t>
  </si>
  <si>
    <t>Дорофеев Семён Александрович</t>
  </si>
  <si>
    <t>Дорошенко Мария Антоновна</t>
  </si>
  <si>
    <t>Дружинин Гордей Николаевичь</t>
  </si>
  <si>
    <t>Дуденкова Мария Сергеевна</t>
  </si>
  <si>
    <t>Думина Дарья Александровна</t>
  </si>
  <si>
    <t>Евсеева Софья Сергеевна</t>
  </si>
  <si>
    <t>Екатеринбург</t>
  </si>
  <si>
    <t>Екатеринбург (МСК+2, UTC+5)</t>
  </si>
  <si>
    <t>Жуплатова Настя Александровна</t>
  </si>
  <si>
    <t>Завалищина Ирина Александровна</t>
  </si>
  <si>
    <t>Завалищина Светлана Владимировна</t>
  </si>
  <si>
    <t>Зверев Артем Максимович</t>
  </si>
  <si>
    <t>Золотов Кирилл Дмитриевич</t>
  </si>
  <si>
    <t>Зубова Аделина Евгеньевна</t>
  </si>
  <si>
    <t>Зубова Мирослава Евгеньевна</t>
  </si>
  <si>
    <t>Зяблова Виктория Сергеевна</t>
  </si>
  <si>
    <t>Ивлева Вероника Александровна</t>
  </si>
  <si>
    <t>Илясова Александра Денисовна</t>
  </si>
  <si>
    <t>Индеров Юрий Денисович</t>
  </si>
  <si>
    <t>Иркутск</t>
  </si>
  <si>
    <t>Иркутск (МСК+5, UTC+8)</t>
  </si>
  <si>
    <t>Исенов Серик Мендыгалиевич</t>
  </si>
  <si>
    <t>Исенова Алсу Мендыгалиевна</t>
  </si>
  <si>
    <t>Калеганова Валерия Александровна</t>
  </si>
  <si>
    <t>Калининград</t>
  </si>
  <si>
    <t>Калининград (МСК-1, UTC+2)</t>
  </si>
  <si>
    <t>Камчатка</t>
  </si>
  <si>
    <t>Камчатка (МСК+9, UTC+12)</t>
  </si>
  <si>
    <t>Канцерова Яна Вячеславовна</t>
  </si>
  <si>
    <t>Капуш Артём Владимирович</t>
  </si>
  <si>
    <t>Карташёва Алёна Александровна</t>
  </si>
  <si>
    <t>Каткасова Виктория Викторовна</t>
  </si>
  <si>
    <t>Катков Максим Андреевич</t>
  </si>
  <si>
    <t>Катунина Софья Андреевна</t>
  </si>
  <si>
    <t>Квасова Дарья Алексеевна</t>
  </si>
  <si>
    <t>Келейнов Даниил Михайлович</t>
  </si>
  <si>
    <t>Киров</t>
  </si>
  <si>
    <t>Киров (МСК, UTC+3)</t>
  </si>
  <si>
    <t>Кирсанов Максим Александрович</t>
  </si>
  <si>
    <t>Князева Софья Александровна</t>
  </si>
  <si>
    <t>Ковалева Мария Евгеньевна</t>
  </si>
  <si>
    <t>Код</t>
  </si>
  <si>
    <t>Козьма Виктория Дмитриевна</t>
  </si>
  <si>
    <t>Кольцов Михаил Дмитриевич</t>
  </si>
  <si>
    <t>Кондулуков Артем Сергеевич</t>
  </si>
  <si>
    <t>Коновалов Денис Иванович</t>
  </si>
  <si>
    <t>Корнилаев Артём Аркадьевич</t>
  </si>
  <si>
    <t>Королева Виктория Александровна</t>
  </si>
  <si>
    <t>Королева Станислава Максимовна</t>
  </si>
  <si>
    <t>Котельникова София Вячеславовна</t>
  </si>
  <si>
    <t>Кочелаевская Валерия Денисовна</t>
  </si>
  <si>
    <t>Кочелаевский Глеб Андреевич</t>
  </si>
  <si>
    <t>Красноярск</t>
  </si>
  <si>
    <t>Красноярск (МСК+4, UTC+7)</t>
  </si>
  <si>
    <t>Лазарева Ирина Сергеевна</t>
  </si>
  <si>
    <t>Лязин Дмитрий Александрович</t>
  </si>
  <si>
    <t>Магадан</t>
  </si>
  <si>
    <t>Магадан (МСК+8, UTC+11)</t>
  </si>
  <si>
    <t>Макашова Мария Павловна</t>
  </si>
  <si>
    <t>Макеев Кирилл Михайлович</t>
  </si>
  <si>
    <t>Максимальный балл</t>
  </si>
  <si>
    <t>Максимова Мария Максимовна</t>
  </si>
  <si>
    <t>Маркина Анастасия Владимировна</t>
  </si>
  <si>
    <t>Махмудов Исмаел Махир оглы</t>
  </si>
  <si>
    <t>Махяновна Эльвира Айратовна</t>
  </si>
  <si>
    <t>Медведев Макар Андреевич</t>
  </si>
  <si>
    <t>Мелиева Дарья Максимовна</t>
  </si>
  <si>
    <t>Милушкин Сергей Викторович</t>
  </si>
  <si>
    <t>Мироненко Ксения Ивановна</t>
  </si>
  <si>
    <t>Мироненко Максим Иванович</t>
  </si>
  <si>
    <t>Митрохина Вероника Алексеевна</t>
  </si>
  <si>
    <t>Мовсисян Александра Маисовна</t>
  </si>
  <si>
    <t>Моисеева Анастасия Денисовна</t>
  </si>
  <si>
    <t>Москва</t>
  </si>
  <si>
    <t>Москва (МСК, UTC+3)</t>
  </si>
  <si>
    <t>Муминов Олег Евгеньевич</t>
  </si>
  <si>
    <t>Мурадова Лейла Орхан Казы</t>
  </si>
  <si>
    <t>Набранные баллы</t>
  </si>
  <si>
    <t>Назлы Мурадова Орхан кызы</t>
  </si>
  <si>
    <t>Неъматуллоев Хайрулло Лутфуллоевич</t>
  </si>
  <si>
    <t>Новак Дима</t>
  </si>
  <si>
    <t>Новак Максим Денисович</t>
  </si>
  <si>
    <t>Новикова Кристина Александровна</t>
  </si>
  <si>
    <t>Новокузнецк</t>
  </si>
  <si>
    <t>Новокузнецк (МСК+4, UTC+7)</t>
  </si>
  <si>
    <t>Новосибирск</t>
  </si>
  <si>
    <t>Новосибирск (МСК+4, UTC+7)</t>
  </si>
  <si>
    <t>Носырева Ксения Сергеевна</t>
  </si>
  <si>
    <t>Нуриахметова Диана Дмитриевна</t>
  </si>
  <si>
    <t>Овчарова Алина Сергеевна</t>
  </si>
  <si>
    <t>Омск</t>
  </si>
  <si>
    <t>Омск (МСК+3, UTC+6)</t>
  </si>
  <si>
    <t>Павлова Полина Александровна</t>
  </si>
  <si>
    <t>Панарин Матвей Павлович</t>
  </si>
  <si>
    <t>Панкратова Анастасия Сергеевна</t>
  </si>
  <si>
    <t>Першина Анастасия Сергеевна</t>
  </si>
  <si>
    <t>Петракова Вероника</t>
  </si>
  <si>
    <t>Повереннова Алиса Алексеевна</t>
  </si>
  <si>
    <t>Погодина Милана Максимовна</t>
  </si>
  <si>
    <t>Поликронов Николай Романович</t>
  </si>
  <si>
    <t>Потапов Александр Александрович</t>
  </si>
  <si>
    <t>Протасов Глеб Сергеевич</t>
  </si>
  <si>
    <t>Рамазонова Фотима Файзалиевна</t>
  </si>
  <si>
    <t>Расулова Сура Бахтияровна</t>
  </si>
  <si>
    <t>Ровный Артём Станиславович</t>
  </si>
  <si>
    <t>Роговая Софья Сергеевна</t>
  </si>
  <si>
    <t>Ручканов Дмитрий Николаевич</t>
  </si>
  <si>
    <t>Рыбакова Ксения Владимировна</t>
  </si>
  <si>
    <t>Рытов Иван Алексеевич</t>
  </si>
  <si>
    <t>Салмина Вероника</t>
  </si>
  <si>
    <t>Салютин Ярослав Александрович</t>
  </si>
  <si>
    <t>Самара</t>
  </si>
  <si>
    <t>Самара (МСК+1, UTC+4)</t>
  </si>
  <si>
    <t>Самойлов Арсений Витальевич</t>
  </si>
  <si>
    <t>Саратов</t>
  </si>
  <si>
    <t>Саратов (МСК+1, UTC+4)</t>
  </si>
  <si>
    <t>Сахалин</t>
  </si>
  <si>
    <t>Сахалин (МСК+8, UTC+11)</t>
  </si>
  <si>
    <t>Северин Иван Николаевич</t>
  </si>
  <si>
    <t>Северина Софья Николаевна</t>
  </si>
  <si>
    <t>Селищев Захар Александрович</t>
  </si>
  <si>
    <t>Серазетдинов Ярослав Андреевич</t>
  </si>
  <si>
    <t>Сидорова Ульяна Денисовна</t>
  </si>
  <si>
    <t>Сильченко Анна Андреевна</t>
  </si>
  <si>
    <t>Симдянов Тимофей Александрович</t>
  </si>
  <si>
    <t>Симферополь</t>
  </si>
  <si>
    <t>Симферополь (МСК, UTC+3)</t>
  </si>
  <si>
    <t>Соколова Ксения Евгеньевна</t>
  </si>
  <si>
    <t>Соловых Ульяна Сергеевна</t>
  </si>
  <si>
    <t>Среднеколымск</t>
  </si>
  <si>
    <t>Среднеколымск (МСК+8, UTC+11)</t>
  </si>
  <si>
    <t>Статус</t>
  </si>
  <si>
    <t>Степанов Матвей Андреевич</t>
  </si>
  <si>
    <t>Степанова София Денисовна</t>
  </si>
  <si>
    <t>Строков Иван Александрович</t>
  </si>
  <si>
    <t>Сумкин Глеб Георгиевич</t>
  </si>
  <si>
    <t>Таджидинов Имрон Мехруллоевич</t>
  </si>
  <si>
    <t>Таджидинов Мухаммадамин Мирсаидович</t>
  </si>
  <si>
    <t>Таджидинов Рустам Мирсаидович</t>
  </si>
  <si>
    <t>Тебенькова Анна Владимировна</t>
  </si>
  <si>
    <t>Терещенко Богдан Владимирович</t>
  </si>
  <si>
    <t>Тимошкин Константин Андреевич</t>
  </si>
  <si>
    <t>Тома Виолетта Алексеевна</t>
  </si>
  <si>
    <t>Томск</t>
  </si>
  <si>
    <t>Томск (МСК+4, UTC+7)</t>
  </si>
  <si>
    <t>Трофимов Данил Дмитриевич</t>
  </si>
  <si>
    <t>Трофимов Михаил Дмитриевич</t>
  </si>
  <si>
    <t>Трячков Николай Евгеньевич</t>
  </si>
  <si>
    <t>Трячкова Христина Евгеньевна</t>
  </si>
  <si>
    <t>Тюина Светлана Антоновна</t>
  </si>
  <si>
    <t>Тяпкина Ксения Сергеевна</t>
  </si>
  <si>
    <t>Ульянина Анна Алексеевна</t>
  </si>
  <si>
    <t>Ульяновск</t>
  </si>
  <si>
    <t>Ульяновск (МСК+1, UTC+4)</t>
  </si>
  <si>
    <t>Усть-Нера</t>
  </si>
  <si>
    <t>Усть-Нера (МСК+7, UTC+10)</t>
  </si>
  <si>
    <t>Уткина Юля Ивановна</t>
  </si>
  <si>
    <t>ФИО</t>
  </si>
  <si>
    <t>Фомичева Мария Владимировна</t>
  </si>
  <si>
    <t>Форофонтова Кристина Романовна</t>
  </si>
  <si>
    <t>Фролова Василиса Антоновна</t>
  </si>
  <si>
    <t>Хандыга</t>
  </si>
  <si>
    <t>Хандыга (МСК+6, UTC+9)</t>
  </si>
  <si>
    <t>Хасанова Ева Тимуровна</t>
  </si>
  <si>
    <t>Холжуманова Малика Абдурауповна</t>
  </si>
  <si>
    <t>Цыганов Антон Максимович</t>
  </si>
  <si>
    <t>Часовой пояс</t>
  </si>
  <si>
    <t>Черенев Артем Денисович</t>
  </si>
  <si>
    <t>Чита</t>
  </si>
  <si>
    <t>Чита (МСК+6, UTC+9)</t>
  </si>
  <si>
    <t>Шамионова Амина Ренатовна</t>
  </si>
  <si>
    <t>Шамионова Самира Ренатовна</t>
  </si>
  <si>
    <t>Шамсутдинова вероника ринатовна</t>
  </si>
  <si>
    <t>Шохрай Анастасия Владимировна</t>
  </si>
  <si>
    <t>Юдин Валерий Александрович</t>
  </si>
  <si>
    <t>Яготинцев Владимир Александрович</t>
  </si>
  <si>
    <t>Якутск</t>
  </si>
  <si>
    <t>Якутск (МСК+6, UTC+9)</t>
  </si>
  <si>
    <t>Янюшкин Артём Александрович</t>
  </si>
  <si>
    <t>Янюшкин Денис Александрович</t>
  </si>
  <si>
    <t>Япрынцев Илья Павлович</t>
  </si>
  <si>
    <t>Ястребов Даниил Никитич</t>
  </si>
  <si>
    <t>куксов андрей сергеевич</t>
  </si>
  <si>
    <t>николаенко дарья романовна</t>
  </si>
  <si>
    <t>решетова мария олеговна</t>
  </si>
  <si>
    <t>шамсутдинова диана ринатовна</t>
  </si>
</sst>
</file>

<file path=xl/styles.xml><?xml version="1.0" encoding="utf-8"?>
<!--Stylesheet generated by xlsx-->
<styleSheet xmlns="http://schemas.openxmlformats.org/spreadsheetml/2006/main">
  <numFmts count="2">
    <numFmt formatCode="##0.0" numFmtId="164"/>
    <numFmt formatCode="dd mmmm yyyy &quot;в&quot; hh:mm" numFmtId="165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5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  <xf applyAlignment="1" applyFont="1" applyNumberFormat="1" fontId="2" numFmtId="165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404</v>
      </c>
      <c r="B1" s="2" t="s">
        <v>189</v>
      </c>
    </row>
    <row collapsed="false" customFormat="true" customHeight="false" hidden="false" outlineLevel="0" r="3">
      <c r="A3" s="1" t="s">
        <v>279</v>
      </c>
      <c r="B3" s="1" t="s">
        <v>395</v>
      </c>
      <c r="C3" s="1" t="s">
        <v>315</v>
      </c>
      <c r="D3" s="1" t="s">
        <v>298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369</v>
      </c>
      <c r="H3" s="1" t="s">
        <v>227</v>
      </c>
    </row>
    <row collapsed="false" customFormat="true" customHeight="false" hidden="false" outlineLevel="0" r="4">
      <c r="A4" s="2" t="s">
        <v>3</v>
      </c>
      <c r="B4" s="2" t="s">
        <v>267</v>
      </c>
      <c r="C4" s="3" t="n">
        <v>75</v>
      </c>
      <c r="D4" s="3" t="n">
        <v>80</v>
      </c>
      <c r="E4" s="4" t="n">
        <f>46289.6779744508 + (VLOOKUP($B$1,TimeZones!$A$1:$C$28,2,FALSE))/24</f>
        <v>46289.84464111751</v>
      </c>
      <c r="F4" s="4" t="n">
        <f>46289.7001235588 + (VLOOKUP($B$1,TimeZones!$A$1:$C$28,2,FALSE))/24</f>
        <v>46289.8667902255</v>
      </c>
      <c r="G4" s="2" t="s">
        <v>0</v>
      </c>
    </row>
    <row collapsed="false" customFormat="true" customHeight="false" hidden="false" outlineLevel="0" r="5">
      <c r="A5" s="2" t="s">
        <v>1</v>
      </c>
      <c r="B5" s="2" t="s">
        <v>347</v>
      </c>
      <c r="C5" s="3" t="n">
        <v>62</v>
      </c>
      <c r="D5" s="3" t="n">
        <v>80</v>
      </c>
      <c r="E5" s="4" t="n">
        <f>46289.7120448132 + (VLOOKUP($B$1,TimeZones!$A$1:$C$28,2,FALSE))/24</f>
        <v>46289.87871147988</v>
      </c>
      <c r="F5" s="4" t="n">
        <f>46289.7245299152 + (VLOOKUP($B$1,TimeZones!$A$1:$C$28,2,FALSE))/24</f>
        <v>46289.89119658184</v>
      </c>
      <c r="G5" s="2" t="s">
        <v>0</v>
      </c>
    </row>
    <row collapsed="false" customFormat="true" customHeight="false" hidden="false" outlineLevel="0" r="6">
      <c r="A6" s="2" t="s">
        <v>4</v>
      </c>
      <c r="B6" s="2" t="s">
        <v>416</v>
      </c>
      <c r="C6" s="3" t="n">
        <v>57.5</v>
      </c>
      <c r="D6" s="3" t="n">
        <v>80</v>
      </c>
      <c r="E6" s="4" t="n">
        <f>46289.6491161059 + (VLOOKUP($B$1,TimeZones!$A$1:$C$28,2,FALSE))/24</f>
        <v>46289.81578277259</v>
      </c>
      <c r="F6" s="4" t="n">
        <f>46289.6614071058 + (VLOOKUP($B$1,TimeZones!$A$1:$C$28,2,FALSE))/24</f>
        <v>46289.82807377246</v>
      </c>
      <c r="G6" s="2" t="s">
        <v>0</v>
      </c>
    </row>
    <row collapsed="false" customFormat="true" customHeight="false" hidden="false" outlineLevel="0" r="7">
      <c r="A7" s="2" t="s">
        <v>5</v>
      </c>
      <c r="B7" s="2" t="s">
        <v>204</v>
      </c>
      <c r="C7" s="3" t="n">
        <v>55.5</v>
      </c>
      <c r="D7" s="3" t="n">
        <v>80</v>
      </c>
      <c r="E7" s="4" t="n">
        <f>46289.7214067640 + (VLOOKUP($B$1,TimeZones!$A$1:$C$28,2,FALSE))/24</f>
        <v>46289.88807343068</v>
      </c>
      <c r="F7" s="4" t="n">
        <f>46289.7333947434 + (VLOOKUP($B$1,TimeZones!$A$1:$C$28,2,FALSE))/24</f>
        <v>46289.90006141006</v>
      </c>
      <c r="G7" s="2" t="s">
        <v>0</v>
      </c>
    </row>
    <row collapsed="false" customFormat="true" customHeight="false" hidden="false" outlineLevel="0" r="8">
      <c r="A8" s="2" t="s">
        <v>2</v>
      </c>
      <c r="B8" s="2" t="s">
        <v>261</v>
      </c>
      <c r="C8" s="3" t="n">
        <v>52</v>
      </c>
      <c r="D8" s="3" t="n">
        <v>80</v>
      </c>
      <c r="E8" s="4" t="n">
        <f>46289.7034120335 + (VLOOKUP($B$1,TimeZones!$A$1:$C$28,2,FALSE))/24</f>
        <v>46289.87007870016</v>
      </c>
      <c r="F8" s="4" t="n">
        <f>46289.7136924123 + (VLOOKUP($B$1,TimeZones!$A$1:$C$28,2,FALSE))/24</f>
        <v>46289.880359078925</v>
      </c>
      <c r="G8" s="2" t="s">
        <v>0</v>
      </c>
    </row>
    <row collapsed="false" customFormat="true" customHeight="false" hidden="false" outlineLevel="0" r="9">
      <c r="A9" s="2" t="s">
        <v>7</v>
      </c>
      <c r="B9" s="2" t="s">
        <v>420</v>
      </c>
      <c r="C9" s="3" t="n">
        <v>51.5</v>
      </c>
      <c r="D9" s="3" t="n">
        <v>80</v>
      </c>
      <c r="E9" s="4" t="n">
        <f>46289.5935968762 + (VLOOKUP($B$1,TimeZones!$A$1:$C$28,2,FALSE))/24</f>
        <v>46289.76026354288</v>
      </c>
      <c r="F9" s="4" t="n">
        <f>46289.6066061928 + (VLOOKUP($B$1,TimeZones!$A$1:$C$28,2,FALSE))/24</f>
        <v>46289.77327285946</v>
      </c>
      <c r="G9" s="2" t="s">
        <v>0</v>
      </c>
    </row>
    <row collapsed="false" customFormat="true" customHeight="false" hidden="false" outlineLevel="0" r="10">
      <c r="A10" s="2" t="s">
        <v>12</v>
      </c>
      <c r="B10" s="2" t="s">
        <v>314</v>
      </c>
      <c r="C10" s="3" t="n">
        <v>50.5</v>
      </c>
      <c r="D10" s="3" t="n">
        <v>80</v>
      </c>
      <c r="E10" s="4" t="n">
        <f>46289.7148646947 + (VLOOKUP($B$1,TimeZones!$A$1:$C$28,2,FALSE))/24</f>
        <v>46289.881531361396</v>
      </c>
      <c r="F10" s="4" t="n">
        <f>46289.7305481011 + (VLOOKUP($B$1,TimeZones!$A$1:$C$28,2,FALSE))/24</f>
        <v>46289.89721476778</v>
      </c>
      <c r="G10" s="2" t="s">
        <v>0</v>
      </c>
    </row>
    <row collapsed="false" customFormat="true" customHeight="false" hidden="false" outlineLevel="0" r="11">
      <c r="A11" s="2" t="s">
        <v>10</v>
      </c>
      <c r="B11" s="2" t="s">
        <v>184</v>
      </c>
      <c r="C11" s="3" t="n">
        <v>41</v>
      </c>
      <c r="D11" s="3" t="n">
        <v>80</v>
      </c>
      <c r="E11" s="4" t="n">
        <f>46289.7014569162 + (VLOOKUP($B$1,TimeZones!$A$1:$C$28,2,FALSE))/24</f>
        <v>46289.86812358287</v>
      </c>
      <c r="F11" s="4" t="n">
        <f>46289.7225832919 + (VLOOKUP($B$1,TimeZones!$A$1:$C$28,2,FALSE))/24</f>
        <v>46289.889249958585</v>
      </c>
      <c r="G11" s="2" t="s">
        <v>0</v>
      </c>
    </row>
    <row collapsed="false" customFormat="true" customHeight="false" hidden="false" outlineLevel="0" r="12">
      <c r="A12" s="2" t="s">
        <v>11</v>
      </c>
      <c r="B12" s="2" t="s">
        <v>333</v>
      </c>
      <c r="C12" s="3" t="n">
        <v>29.5</v>
      </c>
      <c r="D12" s="3" t="n">
        <v>80</v>
      </c>
      <c r="E12" s="4" t="n">
        <f>46289.4971311751 + (VLOOKUP($B$1,TimeZones!$A$1:$C$28,2,FALSE))/24</f>
        <v>46289.66379784176</v>
      </c>
      <c r="F12" s="4" t="n">
        <f>46289.5068219062 + (VLOOKUP($B$1,TimeZones!$A$1:$C$28,2,FALSE))/24</f>
        <v>46289.673488572844</v>
      </c>
      <c r="G12" s="2" t="s">
        <v>0</v>
      </c>
    </row>
    <row collapsed="false" customFormat="true" customHeight="false" hidden="false" outlineLevel="0" r="13">
      <c r="A13" s="2" t="s">
        <v>8</v>
      </c>
      <c r="B13" s="2" t="s">
        <v>224</v>
      </c>
      <c r="C13" s="3" t="n">
        <v>28.5</v>
      </c>
      <c r="D13" s="3" t="n">
        <v>80</v>
      </c>
      <c r="E13" s="4" t="n">
        <f>46289.6653206280 + (VLOOKUP($B$1,TimeZones!$A$1:$C$28,2,FALSE))/24</f>
        <v>46289.831987294674</v>
      </c>
      <c r="F13" s="4" t="n">
        <f>46289.6751555028 + (VLOOKUP($B$1,TimeZones!$A$1:$C$28,2,FALSE))/24</f>
        <v>46289.84182216951</v>
      </c>
      <c r="G13" s="2" t="s">
        <v>0</v>
      </c>
    </row>
    <row collapsed="false" customFormat="true" customHeight="false" hidden="false" outlineLevel="0" r="14">
      <c r="A14" s="2" t="s">
        <v>6</v>
      </c>
      <c r="B14" s="2" t="s">
        <v>281</v>
      </c>
      <c r="C14" s="3" t="n">
        <v>28.5</v>
      </c>
      <c r="D14" s="3" t="n">
        <v>80</v>
      </c>
      <c r="E14" s="4" t="n">
        <f>46289.5299577308 + (VLOOKUP($B$1,TimeZones!$A$1:$C$28,2,FALSE))/24</f>
        <v>46289.69662439744</v>
      </c>
      <c r="F14" s="4" t="n">
        <f>46289.5350021510 + (VLOOKUP($B$1,TimeZones!$A$1:$C$28,2,FALSE))/24</f>
        <v>46289.70166881764</v>
      </c>
      <c r="G14" s="2" t="s">
        <v>0</v>
      </c>
    </row>
    <row collapsed="false" customFormat="true" customHeight="false" hidden="false" outlineLevel="0" r="15">
      <c r="A15" s="2" t="s">
        <v>13</v>
      </c>
      <c r="B15" s="2" t="s">
        <v>357</v>
      </c>
      <c r="C15" s="3" t="n">
        <v>17.5</v>
      </c>
      <c r="D15" s="3" t="n">
        <v>80</v>
      </c>
      <c r="E15" s="4" t="n">
        <f>46289.6977059883 + (VLOOKUP($B$1,TimeZones!$A$1:$C$28,2,FALSE))/24</f>
        <v>46289.864372654985</v>
      </c>
      <c r="F15" s="4" t="n">
        <f>46289.7080541230 + (VLOOKUP($B$1,TimeZones!$A$1:$C$28,2,FALSE))/24</f>
        <v>46289.874720789674</v>
      </c>
      <c r="G15" s="2" t="s">
        <v>0</v>
      </c>
    </row>
    <row collapsed="false" customFormat="true" customHeight="false" hidden="false" outlineLevel="0" r="16">
      <c r="A16" s="2" t="s">
        <v>9</v>
      </c>
      <c r="B16" s="2" t="s">
        <v>199</v>
      </c>
      <c r="C16" s="3" t="n">
        <v>9.5</v>
      </c>
      <c r="D16" s="3" t="n">
        <v>80</v>
      </c>
      <c r="E16" s="4" t="n">
        <f>46289.6746299056 + (VLOOKUP($B$1,TimeZones!$A$1:$C$28,2,FALSE))/24</f>
        <v>46289.84129657223</v>
      </c>
      <c r="F16" s="4" t="n">
        <f>46289.6876299711 + (VLOOKUP($B$1,TimeZones!$A$1:$C$28,2,FALSE))/24</f>
        <v>46289.85429663774</v>
      </c>
      <c r="G16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404</v>
      </c>
      <c r="B1" s="2" t="s">
        <v>189</v>
      </c>
    </row>
    <row collapsed="false" customFormat="true" customHeight="false" hidden="false" outlineLevel="0" r="3">
      <c r="A3" s="1" t="s">
        <v>279</v>
      </c>
      <c r="B3" s="1" t="s">
        <v>395</v>
      </c>
      <c r="C3" s="1" t="s">
        <v>315</v>
      </c>
      <c r="D3" s="1" t="s">
        <v>298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369</v>
      </c>
      <c r="H3" s="1" t="s">
        <v>227</v>
      </c>
    </row>
    <row collapsed="false" customFormat="true" customHeight="false" hidden="false" outlineLevel="0" r="4">
      <c r="A4" s="2" t="s">
        <v>53</v>
      </c>
      <c r="B4" s="2" t="s">
        <v>239</v>
      </c>
      <c r="C4" s="3" t="n">
        <v>68</v>
      </c>
      <c r="D4" s="3" t="n">
        <v>80</v>
      </c>
      <c r="E4" s="4" t="n">
        <f>46289.6959282169 + (VLOOKUP($B$1,TimeZones!$A$1:$C$28,2,FALSE))/24</f>
        <v>46289.862594883554</v>
      </c>
      <c r="F4" s="4" t="n">
        <f>46289.7194528610 + (VLOOKUP($B$1,TimeZones!$A$1:$C$28,2,FALSE))/24</f>
        <v>46289.88611952769</v>
      </c>
      <c r="G4" s="2" t="s">
        <v>0</v>
      </c>
    </row>
    <row collapsed="false" customFormat="true" customHeight="false" hidden="false" outlineLevel="0" r="5">
      <c r="A5" s="2" t="s">
        <v>21</v>
      </c>
      <c r="B5" s="2" t="s">
        <v>276</v>
      </c>
      <c r="C5" s="3" t="n">
        <v>64</v>
      </c>
      <c r="D5" s="3" t="n">
        <v>80</v>
      </c>
      <c r="E5" s="4" t="n">
        <f>46289.6831069496 + (VLOOKUP($B$1,TimeZones!$A$1:$C$28,2,FALSE))/24</f>
        <v>46289.84977361626</v>
      </c>
      <c r="F5" s="4" t="n">
        <f>46289.6922999806 + (VLOOKUP($B$1,TimeZones!$A$1:$C$28,2,FALSE))/24</f>
        <v>46289.85896664727</v>
      </c>
      <c r="G5" s="2" t="s">
        <v>0</v>
      </c>
    </row>
    <row collapsed="false" customFormat="true" customHeight="false" hidden="false" outlineLevel="0" r="6">
      <c r="A6" s="2" t="s">
        <v>35</v>
      </c>
      <c r="B6" s="2" t="s">
        <v>205</v>
      </c>
      <c r="C6" s="3" t="n">
        <v>57</v>
      </c>
      <c r="D6" s="3" t="n">
        <v>80</v>
      </c>
      <c r="E6" s="4" t="n">
        <f>46289.6965594213 + (VLOOKUP($B$1,TimeZones!$A$1:$C$28,2,FALSE))/24</f>
        <v>46289.863226087975</v>
      </c>
      <c r="F6" s="4" t="n">
        <f>46289.7082739597 + (VLOOKUP($B$1,TimeZones!$A$1:$C$28,2,FALSE))/24</f>
        <v>46289.87494062637</v>
      </c>
      <c r="G6" s="2" t="s">
        <v>0</v>
      </c>
    </row>
    <row collapsed="false" customFormat="true" customHeight="false" hidden="false" outlineLevel="0" r="7">
      <c r="A7" s="2" t="s">
        <v>14</v>
      </c>
      <c r="B7" s="2" t="s">
        <v>183</v>
      </c>
      <c r="C7" s="3" t="n">
        <v>53</v>
      </c>
      <c r="D7" s="3" t="n">
        <v>80</v>
      </c>
      <c r="E7" s="4" t="n">
        <f>46289.4931248715 + (VLOOKUP($B$1,TimeZones!$A$1:$C$28,2,FALSE))/24</f>
        <v>46289.65979153819</v>
      </c>
      <c r="F7" s="4" t="n">
        <f>46289.5119084003 + (VLOOKUP($B$1,TimeZones!$A$1:$C$28,2,FALSE))/24</f>
        <v>46289.67857506692</v>
      </c>
      <c r="G7" s="2" t="s">
        <v>0</v>
      </c>
    </row>
    <row collapsed="false" customFormat="true" customHeight="false" hidden="false" outlineLevel="0" r="8">
      <c r="A8" s="2" t="s">
        <v>42</v>
      </c>
      <c r="B8" s="2" t="s">
        <v>379</v>
      </c>
      <c r="C8" s="3" t="n">
        <v>53</v>
      </c>
      <c r="D8" s="3" t="n">
        <v>80</v>
      </c>
      <c r="E8" s="4" t="n">
        <f>46289.7146438256 + (VLOOKUP($B$1,TimeZones!$A$1:$C$28,2,FALSE))/24</f>
        <v>46289.88131049225</v>
      </c>
      <c r="F8" s="4" t="n">
        <f>46289.7220086502 + (VLOOKUP($B$1,TimeZones!$A$1:$C$28,2,FALSE))/24</f>
        <v>46289.88867531687</v>
      </c>
      <c r="G8" s="2" t="s">
        <v>0</v>
      </c>
    </row>
    <row collapsed="false" customFormat="true" customHeight="false" hidden="false" outlineLevel="0" r="9">
      <c r="A9" s="2" t="s">
        <v>37</v>
      </c>
      <c r="B9" s="2" t="s">
        <v>405</v>
      </c>
      <c r="C9" s="3" t="n">
        <v>52</v>
      </c>
      <c r="D9" s="3" t="n">
        <v>80</v>
      </c>
      <c r="E9" s="4" t="n">
        <f>46289.7059557970 + (VLOOKUP($B$1,TimeZones!$A$1:$C$28,2,FALSE))/24</f>
        <v>46289.872622463634</v>
      </c>
      <c r="F9" s="4" t="n">
        <f>46289.7142153090 + (VLOOKUP($B$1,TimeZones!$A$1:$C$28,2,FALSE))/24</f>
        <v>46289.88088197564</v>
      </c>
      <c r="G9" s="2" t="s">
        <v>0</v>
      </c>
    </row>
    <row collapsed="false" customFormat="true" customHeight="false" hidden="false" outlineLevel="0" r="10">
      <c r="A10" s="2" t="s">
        <v>19</v>
      </c>
      <c r="B10" s="2" t="s">
        <v>293</v>
      </c>
      <c r="C10" s="3" t="n">
        <v>49</v>
      </c>
      <c r="D10" s="3" t="n">
        <v>80</v>
      </c>
      <c r="E10" s="4" t="n">
        <f>46289.6982736653 + (VLOOKUP($B$1,TimeZones!$A$1:$C$28,2,FALSE))/24</f>
        <v>46289.86494033199</v>
      </c>
      <c r="F10" s="4" t="n">
        <f>46289.7234753487 + (VLOOKUP($B$1,TimeZones!$A$1:$C$28,2,FALSE))/24</f>
        <v>46289.89014201539</v>
      </c>
      <c r="G10" s="2" t="s">
        <v>0</v>
      </c>
    </row>
    <row collapsed="false" customFormat="true" customHeight="false" hidden="false" outlineLevel="0" r="11">
      <c r="A11" s="2" t="s">
        <v>51</v>
      </c>
      <c r="B11" s="2" t="s">
        <v>302</v>
      </c>
      <c r="C11" s="3" t="n">
        <v>46</v>
      </c>
      <c r="D11" s="3" t="n">
        <v>80</v>
      </c>
      <c r="E11" s="4" t="n">
        <f>46289.7156347156 + (VLOOKUP($B$1,TimeZones!$A$1:$C$28,2,FALSE))/24</f>
        <v>46289.8823013823</v>
      </c>
      <c r="F11" s="4" t="n">
        <f>46289.7217057064 + (VLOOKUP($B$1,TimeZones!$A$1:$C$28,2,FALSE))/24</f>
        <v>46289.88837237309</v>
      </c>
      <c r="G11" s="2" t="s">
        <v>0</v>
      </c>
    </row>
    <row collapsed="false" customFormat="true" customHeight="false" hidden="false" outlineLevel="0" r="12">
      <c r="A12" s="2" t="s">
        <v>49</v>
      </c>
      <c r="B12" s="2" t="s">
        <v>344</v>
      </c>
      <c r="C12" s="3" t="n">
        <v>46</v>
      </c>
      <c r="D12" s="3" t="n">
        <v>80</v>
      </c>
      <c r="E12" s="4" t="n">
        <f>46289.6023859200 + (VLOOKUP($B$1,TimeZones!$A$1:$C$28,2,FALSE))/24</f>
        <v>46289.7690525867</v>
      </c>
      <c r="F12" s="4" t="n">
        <f>46289.6230044611 + (VLOOKUP($B$1,TimeZones!$A$1:$C$28,2,FALSE))/24</f>
        <v>46289.78967112773</v>
      </c>
      <c r="G12" s="2" t="s">
        <v>0</v>
      </c>
    </row>
    <row collapsed="false" customFormat="true" customHeight="false" hidden="false" outlineLevel="0" r="13">
      <c r="A13" s="2" t="s">
        <v>22</v>
      </c>
      <c r="B13" s="2" t="s">
        <v>283</v>
      </c>
      <c r="C13" s="3" t="n">
        <v>45</v>
      </c>
      <c r="D13" s="3" t="n">
        <v>80</v>
      </c>
      <c r="E13" s="4" t="n">
        <f>46289.5447199416 + (VLOOKUP($B$1,TimeZones!$A$1:$C$28,2,FALSE))/24</f>
        <v>46289.71138660831</v>
      </c>
      <c r="F13" s="4" t="n">
        <f>46289.5495475639 + (VLOOKUP($B$1,TimeZones!$A$1:$C$28,2,FALSE))/24</f>
        <v>46289.71621423053</v>
      </c>
      <c r="G13" s="2" t="s">
        <v>0</v>
      </c>
    </row>
    <row collapsed="false" customFormat="true" customHeight="false" hidden="false" outlineLevel="0" r="14">
      <c r="A14" s="2" t="s">
        <v>28</v>
      </c>
      <c r="B14" s="2" t="s">
        <v>289</v>
      </c>
      <c r="C14" s="3" t="n">
        <v>45</v>
      </c>
      <c r="D14" s="3" t="n">
        <v>80</v>
      </c>
      <c r="E14" s="4" t="n">
        <f>46289.7287908251 + (VLOOKUP($B$1,TimeZones!$A$1:$C$28,2,FALSE))/24</f>
        <v>46289.89545749179</v>
      </c>
      <c r="F14" s="4" t="n">
        <f>46289.7347307157 + (VLOOKUP($B$1,TimeZones!$A$1:$C$28,2,FALSE))/24</f>
        <v>46289.901397382324</v>
      </c>
      <c r="G14" s="2" t="s">
        <v>0</v>
      </c>
    </row>
    <row collapsed="false" customFormat="true" customHeight="false" hidden="false" outlineLevel="0" r="15">
      <c r="A15" s="2" t="s">
        <v>18</v>
      </c>
      <c r="B15" s="2" t="s">
        <v>218</v>
      </c>
      <c r="C15" s="3" t="n">
        <v>44</v>
      </c>
      <c r="D15" s="3" t="n">
        <v>80</v>
      </c>
      <c r="E15" s="4" t="n">
        <f>46289.7054033408 + (VLOOKUP($B$1,TimeZones!$A$1:$C$28,2,FALSE))/24</f>
        <v>46289.87207000745</v>
      </c>
      <c r="F15" s="4" t="n">
        <f>46289.7245103101 + (VLOOKUP($B$1,TimeZones!$A$1:$C$28,2,FALSE))/24</f>
        <v>46289.891176976766</v>
      </c>
      <c r="G15" s="2" t="s">
        <v>0</v>
      </c>
    </row>
    <row collapsed="false" customFormat="true" customHeight="false" hidden="false" outlineLevel="0" r="16">
      <c r="A16" s="2" t="s">
        <v>41</v>
      </c>
      <c r="B16" s="2" t="s">
        <v>307</v>
      </c>
      <c r="C16" s="3" t="n">
        <v>43</v>
      </c>
      <c r="D16" s="3" t="n">
        <v>80</v>
      </c>
      <c r="E16" s="4" t="n">
        <f>46289.5591721293 + (VLOOKUP($B$1,TimeZones!$A$1:$C$28,2,FALSE))/24</f>
        <v>46289.725838796</v>
      </c>
      <c r="F16" s="4" t="n">
        <f>46289.5732883416 + (VLOOKUP($B$1,TimeZones!$A$1:$C$28,2,FALSE))/24</f>
        <v>46289.73995500825</v>
      </c>
      <c r="G16" s="2" t="s">
        <v>0</v>
      </c>
    </row>
    <row collapsed="false" customFormat="true" customHeight="false" hidden="false" outlineLevel="0" r="17">
      <c r="A17" s="2" t="s">
        <v>47</v>
      </c>
      <c r="B17" s="2" t="s">
        <v>340</v>
      </c>
      <c r="C17" s="3" t="n">
        <v>42</v>
      </c>
      <c r="D17" s="3" t="n">
        <v>80</v>
      </c>
      <c r="E17" s="4" t="n">
        <f>46289.6874725693 + (VLOOKUP($B$1,TimeZones!$A$1:$C$28,2,FALSE))/24</f>
        <v>46289.85413923593</v>
      </c>
      <c r="F17" s="4" t="n">
        <f>46289.6983526840 + (VLOOKUP($B$1,TimeZones!$A$1:$C$28,2,FALSE))/24</f>
        <v>46289.86501935063</v>
      </c>
      <c r="G17" s="2" t="s">
        <v>0</v>
      </c>
    </row>
    <row collapsed="false" customFormat="true" customHeight="false" hidden="false" outlineLevel="0" r="18">
      <c r="A18" s="2" t="s">
        <v>30</v>
      </c>
      <c r="B18" s="2" t="s">
        <v>309</v>
      </c>
      <c r="C18" s="3" t="n">
        <v>40</v>
      </c>
      <c r="D18" s="3" t="n">
        <v>80</v>
      </c>
      <c r="E18" s="4" t="n">
        <f>46289.6978652502 + (VLOOKUP($B$1,TimeZones!$A$1:$C$28,2,FALSE))/24</f>
        <v>46289.864531916886</v>
      </c>
      <c r="F18" s="4" t="n">
        <f>46289.7124515925 + (VLOOKUP($B$1,TimeZones!$A$1:$C$28,2,FALSE))/24</f>
        <v>46289.87911825915</v>
      </c>
      <c r="G18" s="2" t="s">
        <v>0</v>
      </c>
    </row>
    <row collapsed="false" customFormat="true" customHeight="false" hidden="false" outlineLevel="0" r="19">
      <c r="A19" s="2" t="s">
        <v>27</v>
      </c>
      <c r="B19" s="2" t="s">
        <v>203</v>
      </c>
      <c r="C19" s="3" t="n">
        <v>39</v>
      </c>
      <c r="D19" s="3" t="n">
        <v>80</v>
      </c>
      <c r="E19" s="4" t="n">
        <f>46289.5146381850 + (VLOOKUP($B$1,TimeZones!$A$1:$C$28,2,FALSE))/24</f>
        <v>46289.68130485162</v>
      </c>
      <c r="F19" s="4" t="n">
        <f>46289.5250361618 + (VLOOKUP($B$1,TimeZones!$A$1:$C$28,2,FALSE))/24</f>
        <v>46289.691702828495</v>
      </c>
      <c r="G19" s="2" t="s">
        <v>0</v>
      </c>
    </row>
    <row collapsed="false" customFormat="true" customHeight="false" hidden="false" outlineLevel="0" r="20">
      <c r="A20" s="2" t="s">
        <v>16</v>
      </c>
      <c r="B20" s="2" t="s">
        <v>271</v>
      </c>
      <c r="C20" s="3" t="n">
        <v>39</v>
      </c>
      <c r="D20" s="3" t="n">
        <v>80</v>
      </c>
      <c r="E20" s="4" t="n">
        <f>46289.7364342062 + (VLOOKUP($B$1,TimeZones!$A$1:$C$28,2,FALSE))/24</f>
        <v>46289.90310087284</v>
      </c>
      <c r="F20" s="4" t="n">
        <f>46289.7430680123 + (VLOOKUP($B$1,TimeZones!$A$1:$C$28,2,FALSE))/24</f>
        <v>46289.909734678964</v>
      </c>
      <c r="G20" s="2" t="s">
        <v>0</v>
      </c>
    </row>
    <row collapsed="false" customFormat="true" customHeight="false" hidden="false" outlineLevel="0" r="21">
      <c r="A21" s="2" t="s">
        <v>44</v>
      </c>
      <c r="B21" s="2" t="s">
        <v>318</v>
      </c>
      <c r="C21" s="3" t="n">
        <v>37</v>
      </c>
      <c r="D21" s="3" t="n">
        <v>80</v>
      </c>
      <c r="E21" s="4" t="n">
        <f>46289.6076632547 + (VLOOKUP($B$1,TimeZones!$A$1:$C$28,2,FALSE))/24</f>
        <v>46289.77432992136</v>
      </c>
      <c r="F21" s="4" t="n">
        <f>46289.6169028715 + (VLOOKUP($B$1,TimeZones!$A$1:$C$28,2,FALSE))/24</f>
        <v>46289.7835695382</v>
      </c>
      <c r="G21" s="2" t="s">
        <v>0</v>
      </c>
    </row>
    <row collapsed="false" customFormat="true" customHeight="false" hidden="false" outlineLevel="0" r="22">
      <c r="A22" s="2" t="s">
        <v>24</v>
      </c>
      <c r="B22" s="2" t="s">
        <v>396</v>
      </c>
      <c r="C22" s="3" t="n">
        <v>36</v>
      </c>
      <c r="D22" s="3" t="n">
        <v>80</v>
      </c>
      <c r="E22" s="4" t="n">
        <f>46289.7260350819 + (VLOOKUP($B$1,TimeZones!$A$1:$C$28,2,FALSE))/24</f>
        <v>46289.892701748606</v>
      </c>
      <c r="F22" s="4" t="n">
        <f>46289.7328130012 + (VLOOKUP($B$1,TimeZones!$A$1:$C$28,2,FALSE))/24</f>
        <v>46289.89947966787</v>
      </c>
      <c r="G22" s="2" t="s">
        <v>0</v>
      </c>
    </row>
    <row collapsed="false" customFormat="true" customHeight="false" hidden="false" outlineLevel="0" r="23">
      <c r="A23" s="2" t="s">
        <v>50</v>
      </c>
      <c r="B23" s="2" t="s">
        <v>398</v>
      </c>
      <c r="C23" s="3" t="n">
        <v>36</v>
      </c>
      <c r="D23" s="3" t="n">
        <v>80</v>
      </c>
      <c r="E23" s="4" t="n">
        <f>46289.5533536750 + (VLOOKUP($B$1,TimeZones!$A$1:$C$28,2,FALSE))/24</f>
        <v>46289.720020341665</v>
      </c>
      <c r="F23" s="4" t="n">
        <f>46289.5602705955 + (VLOOKUP($B$1,TimeZones!$A$1:$C$28,2,FALSE))/24</f>
        <v>46289.72693726221</v>
      </c>
      <c r="G23" s="2" t="s">
        <v>0</v>
      </c>
    </row>
    <row collapsed="false" customFormat="true" customHeight="false" hidden="false" outlineLevel="0" r="24">
      <c r="A24" s="2" t="s">
        <v>29</v>
      </c>
      <c r="B24" s="2" t="s">
        <v>232</v>
      </c>
      <c r="C24" s="3" t="n">
        <v>35</v>
      </c>
      <c r="D24" s="3" t="n">
        <v>80</v>
      </c>
      <c r="E24" s="4" t="n">
        <f>46289.6207544450 + (VLOOKUP($B$1,TimeZones!$A$1:$C$28,2,FALSE))/24</f>
        <v>46289.78742111163</v>
      </c>
      <c r="F24" s="4" t="n">
        <f>46289.6297281406 + (VLOOKUP($B$1,TimeZones!$A$1:$C$28,2,FALSE))/24</f>
        <v>46289.796394807316</v>
      </c>
      <c r="G24" s="2" t="s">
        <v>0</v>
      </c>
    </row>
    <row collapsed="false" customFormat="true" customHeight="false" hidden="false" outlineLevel="0" r="25">
      <c r="A25" s="2" t="s">
        <v>36</v>
      </c>
      <c r="B25" s="2" t="s">
        <v>360</v>
      </c>
      <c r="C25" s="3" t="n">
        <v>34</v>
      </c>
      <c r="D25" s="3" t="n">
        <v>80</v>
      </c>
      <c r="E25" s="4" t="n">
        <f>46289.7445255265 + (VLOOKUP($B$1,TimeZones!$A$1:$C$28,2,FALSE))/24</f>
        <v>46289.91119219319</v>
      </c>
      <c r="F25" s="4" t="n">
        <f>46289.7500000000 + (VLOOKUP($B$1,TimeZones!$A$1:$C$28,2,FALSE))/24</f>
        <v>46289.916666666664</v>
      </c>
      <c r="G25" s="2" t="s">
        <v>0</v>
      </c>
    </row>
    <row collapsed="false" customFormat="true" customHeight="false" hidden="false" outlineLevel="0" r="26">
      <c r="A26" s="2" t="s">
        <v>31</v>
      </c>
      <c r="B26" s="2" t="s">
        <v>200</v>
      </c>
      <c r="C26" s="3" t="n">
        <v>33</v>
      </c>
      <c r="D26" s="3" t="n">
        <v>80</v>
      </c>
      <c r="E26" s="4" t="n">
        <f>46289.6905093993 + (VLOOKUP($B$1,TimeZones!$A$1:$C$28,2,FALSE))/24</f>
        <v>46289.85717606597</v>
      </c>
      <c r="F26" s="4" t="n">
        <f>46289.7086466868 + (VLOOKUP($B$1,TimeZones!$A$1:$C$28,2,FALSE))/24</f>
        <v>46289.875313353434</v>
      </c>
      <c r="G26" s="2" t="s">
        <v>0</v>
      </c>
    </row>
    <row collapsed="false" customFormat="true" customHeight="false" hidden="false" outlineLevel="0" r="27">
      <c r="A27" s="2" t="s">
        <v>26</v>
      </c>
      <c r="B27" s="2" t="s">
        <v>334</v>
      </c>
      <c r="C27" s="3" t="n">
        <v>33</v>
      </c>
      <c r="D27" s="3" t="n">
        <v>80</v>
      </c>
      <c r="E27" s="4" t="n">
        <f>46289.6944619104 + (VLOOKUP($B$1,TimeZones!$A$1:$C$28,2,FALSE))/24</f>
        <v>46289.861128577104</v>
      </c>
      <c r="F27" s="4" t="n">
        <f>46289.7066592364 + (VLOOKUP($B$1,TimeZones!$A$1:$C$28,2,FALSE))/24</f>
        <v>46289.87332590304</v>
      </c>
      <c r="G27" s="2" t="s">
        <v>0</v>
      </c>
    </row>
    <row collapsed="false" customFormat="true" customHeight="false" hidden="false" outlineLevel="0" r="28">
      <c r="A28" s="2" t="s">
        <v>39</v>
      </c>
      <c r="B28" s="2" t="s">
        <v>282</v>
      </c>
      <c r="C28" s="3" t="n">
        <v>32</v>
      </c>
      <c r="D28" s="3" t="n">
        <v>80</v>
      </c>
      <c r="E28" s="4" t="n">
        <f>46289.6932416576 + (VLOOKUP($B$1,TimeZones!$A$1:$C$28,2,FALSE))/24</f>
        <v>46289.85990832422</v>
      </c>
      <c r="F28" s="4" t="n">
        <f>46289.7008883903 + (VLOOKUP($B$1,TimeZones!$A$1:$C$28,2,FALSE))/24</f>
        <v>46289.86755505697</v>
      </c>
      <c r="G28" s="2" t="s">
        <v>0</v>
      </c>
    </row>
    <row collapsed="false" customFormat="true" customHeight="false" hidden="false" outlineLevel="0" r="29">
      <c r="A29" s="2" t="s">
        <v>54</v>
      </c>
      <c r="B29" s="2" t="s">
        <v>374</v>
      </c>
      <c r="C29" s="3" t="n">
        <v>31</v>
      </c>
      <c r="D29" s="3" t="n">
        <v>80</v>
      </c>
      <c r="E29" s="4" t="n">
        <f>46289.6506338233 + (VLOOKUP($B$1,TimeZones!$A$1:$C$28,2,FALSE))/24</f>
        <v>46289.817300489965</v>
      </c>
      <c r="F29" s="4" t="n">
        <f>46289.6588332881 + (VLOOKUP($B$1,TimeZones!$A$1:$C$28,2,FALSE))/24</f>
        <v>46289.825499954786</v>
      </c>
      <c r="G29" s="2" t="s">
        <v>0</v>
      </c>
    </row>
    <row collapsed="false" customFormat="true" customHeight="false" hidden="false" outlineLevel="0" r="30">
      <c r="A30" s="2" t="s">
        <v>15</v>
      </c>
      <c r="B30" s="2" t="s">
        <v>213</v>
      </c>
      <c r="C30" s="3" t="n">
        <v>27</v>
      </c>
      <c r="D30" s="3" t="n">
        <v>80</v>
      </c>
      <c r="E30" s="4" t="n">
        <f>46289.7117273870 + (VLOOKUP($B$1,TimeZones!$A$1:$C$28,2,FALSE))/24</f>
        <v>46289.87839405362</v>
      </c>
      <c r="F30" s="4" t="n">
        <f>46289.7301259369 + (VLOOKUP($B$1,TimeZones!$A$1:$C$28,2,FALSE))/24</f>
        <v>46289.89679260354</v>
      </c>
      <c r="G30" s="2" t="s">
        <v>0</v>
      </c>
    </row>
    <row collapsed="false" customFormat="true" customHeight="false" hidden="false" outlineLevel="0" r="31">
      <c r="A31" s="2" t="s">
        <v>46</v>
      </c>
      <c r="B31" s="2" t="s">
        <v>221</v>
      </c>
      <c r="C31" s="3" t="n">
        <v>27</v>
      </c>
      <c r="D31" s="3" t="n">
        <v>80</v>
      </c>
      <c r="E31" s="4" t="n">
        <f>46289.4838119351 + (VLOOKUP($B$1,TimeZones!$A$1:$C$28,2,FALSE))/24</f>
        <v>46289.65047860177</v>
      </c>
      <c r="F31" s="4" t="n">
        <f>46289.5000426446 + (VLOOKUP($B$1,TimeZones!$A$1:$C$28,2,FALSE))/24</f>
        <v>46289.66670931129</v>
      </c>
      <c r="G31" s="2" t="s">
        <v>0</v>
      </c>
    </row>
    <row collapsed="false" customFormat="true" customHeight="false" hidden="false" outlineLevel="0" r="32">
      <c r="A32" s="2" t="s">
        <v>20</v>
      </c>
      <c r="B32" s="2" t="s">
        <v>327</v>
      </c>
      <c r="C32" s="3" t="n">
        <v>23</v>
      </c>
      <c r="D32" s="3" t="n">
        <v>80</v>
      </c>
      <c r="E32" s="4" t="n">
        <f>46289.6454587194 + (VLOOKUP($B$1,TimeZones!$A$1:$C$28,2,FALSE))/24</f>
        <v>46289.81212538604</v>
      </c>
      <c r="F32" s="4" t="n">
        <f>46289.6546475350 + (VLOOKUP($B$1,TimeZones!$A$1:$C$28,2,FALSE))/24</f>
        <v>46289.82131420171</v>
      </c>
      <c r="G32" s="2" t="s">
        <v>0</v>
      </c>
    </row>
    <row collapsed="false" customFormat="true" customHeight="false" hidden="false" outlineLevel="0" r="33">
      <c r="A33" s="2" t="s">
        <v>17</v>
      </c>
      <c r="B33" s="2" t="s">
        <v>198</v>
      </c>
      <c r="C33" s="3" t="n">
        <v>22</v>
      </c>
      <c r="D33" s="3" t="n">
        <v>80</v>
      </c>
      <c r="E33" s="4" t="n">
        <f>46289.7154288383 + (VLOOKUP($B$1,TimeZones!$A$1:$C$28,2,FALSE))/24</f>
        <v>46289.882095504974</v>
      </c>
      <c r="F33" s="4" t="n">
        <f>46289.7188236428 + (VLOOKUP($B$1,TimeZones!$A$1:$C$28,2,FALSE))/24</f>
        <v>46289.88549030943</v>
      </c>
      <c r="G33" s="2" t="s">
        <v>0</v>
      </c>
    </row>
    <row collapsed="false" customFormat="true" customHeight="false" hidden="false" outlineLevel="0" r="34">
      <c r="A34" s="2" t="s">
        <v>52</v>
      </c>
      <c r="B34" s="2" t="s">
        <v>362</v>
      </c>
      <c r="C34" s="3" t="n">
        <v>21</v>
      </c>
      <c r="D34" s="3" t="n">
        <v>80</v>
      </c>
      <c r="E34" s="4" t="n">
        <f>46289.6929515229 + (VLOOKUP($B$1,TimeZones!$A$1:$C$28,2,FALSE))/24</f>
        <v>46289.85961818959</v>
      </c>
      <c r="F34" s="4" t="n">
        <f>46289.7040099413 + (VLOOKUP($B$1,TimeZones!$A$1:$C$28,2,FALSE))/24</f>
        <v>46289.87067660793</v>
      </c>
      <c r="G34" s="2" t="s">
        <v>0</v>
      </c>
    </row>
    <row collapsed="false" customFormat="true" customHeight="false" hidden="false" outlineLevel="0" r="35">
      <c r="A35" s="2" t="s">
        <v>48</v>
      </c>
      <c r="B35" s="2" t="s">
        <v>236</v>
      </c>
      <c r="C35" s="3" t="n">
        <v>19</v>
      </c>
      <c r="D35" s="3" t="n">
        <v>80</v>
      </c>
      <c r="E35" s="4" t="n">
        <f>46289.7222107825 + (VLOOKUP($B$1,TimeZones!$A$1:$C$28,2,FALSE))/24</f>
        <v>46289.888877449164</v>
      </c>
      <c r="F35" s="4" t="n">
        <f>46289.7268933891 + (VLOOKUP($B$1,TimeZones!$A$1:$C$28,2,FALSE))/24</f>
        <v>46289.893560055796</v>
      </c>
      <c r="G35" s="2" t="s">
        <v>0</v>
      </c>
    </row>
    <row collapsed="false" customFormat="true" customHeight="false" hidden="false" outlineLevel="0" r="36">
      <c r="A36" s="2" t="s">
        <v>40</v>
      </c>
      <c r="B36" s="2" t="s">
        <v>215</v>
      </c>
      <c r="C36" s="3" t="n">
        <v>15</v>
      </c>
      <c r="D36" s="3" t="n">
        <v>80</v>
      </c>
      <c r="E36" s="4" t="n">
        <f>46289.6982897049 + (VLOOKUP($B$1,TimeZones!$A$1:$C$28,2,FALSE))/24</f>
        <v>46289.86495637161</v>
      </c>
      <c r="F36" s="4" t="n">
        <f>46289.7041937788 + (VLOOKUP($B$1,TimeZones!$A$1:$C$28,2,FALSE))/24</f>
        <v>46289.87086044547</v>
      </c>
      <c r="G36" s="2" t="s">
        <v>0</v>
      </c>
    </row>
    <row collapsed="false" customFormat="true" customHeight="false" hidden="false" outlineLevel="0" r="37">
      <c r="A37" s="2" t="s">
        <v>34</v>
      </c>
      <c r="B37" s="2" t="s">
        <v>259</v>
      </c>
      <c r="C37" s="3" t="n">
        <v>13</v>
      </c>
      <c r="D37" s="3" t="n">
        <v>80</v>
      </c>
      <c r="E37" s="4" t="n">
        <f>46289.7440971839 + (VLOOKUP($B$1,TimeZones!$A$1:$C$28,2,FALSE))/24</f>
        <v>46289.91076385059</v>
      </c>
      <c r="F37" s="4" t="n">
        <f>46289.7454788298 + (VLOOKUP($B$1,TimeZones!$A$1:$C$28,2,FALSE))/24</f>
        <v>46289.9121454965</v>
      </c>
      <c r="G37" s="2" t="s">
        <v>0</v>
      </c>
    </row>
    <row collapsed="false" customFormat="true" customHeight="false" hidden="false" outlineLevel="0" r="38">
      <c r="A38" s="2" t="s">
        <v>25</v>
      </c>
      <c r="B38" s="2" t="s">
        <v>226</v>
      </c>
      <c r="C38" s="3" t="n">
        <v>11</v>
      </c>
      <c r="D38" s="3" t="n">
        <v>80</v>
      </c>
      <c r="E38" s="4" t="n">
        <f>46289.7269814449 + (VLOOKUP($B$1,TimeZones!$A$1:$C$28,2,FALSE))/24</f>
        <v>46289.89364811158</v>
      </c>
      <c r="F38" s="4" t="n">
        <f>46289.7286681869 + (VLOOKUP($B$1,TimeZones!$A$1:$C$28,2,FALSE))/24</f>
        <v>46289.89533485353</v>
      </c>
      <c r="G38" s="2" t="s">
        <v>0</v>
      </c>
    </row>
    <row collapsed="false" customFormat="true" customHeight="false" hidden="false" outlineLevel="0" r="39">
      <c r="A39" s="2" t="s">
        <v>23</v>
      </c>
      <c r="B39" s="2" t="s">
        <v>313</v>
      </c>
      <c r="C39" s="3" t="n">
        <v>10</v>
      </c>
      <c r="D39" s="3" t="n">
        <v>80</v>
      </c>
      <c r="E39" s="4" t="n">
        <f>46289.7232400487 + (VLOOKUP($B$1,TimeZones!$A$1:$C$28,2,FALSE))/24</f>
        <v>46289.88990671537</v>
      </c>
      <c r="F39" s="4" t="n">
        <f>46289.7254946748 + (VLOOKUP($B$1,TimeZones!$A$1:$C$28,2,FALSE))/24</f>
        <v>46289.89216134142</v>
      </c>
      <c r="G39" s="2" t="s">
        <v>0</v>
      </c>
    </row>
    <row collapsed="false" customFormat="true" customHeight="false" hidden="false" outlineLevel="0" r="40">
      <c r="A40" s="2" t="s">
        <v>38</v>
      </c>
      <c r="B40" s="2" t="s">
        <v>341</v>
      </c>
      <c r="C40" s="3" t="n">
        <v>9</v>
      </c>
      <c r="D40" s="3" t="n">
        <v>80</v>
      </c>
      <c r="E40" s="4" t="n">
        <f>46289.4801658574 + (VLOOKUP($B$1,TimeZones!$A$1:$C$28,2,FALSE))/24</f>
        <v>46289.64683252407</v>
      </c>
      <c r="F40" s="4" t="n">
        <f>46289.4822635833 + (VLOOKUP($B$1,TimeZones!$A$1:$C$28,2,FALSE))/24</f>
        <v>46289.648930249954</v>
      </c>
      <c r="G40" s="2" t="s">
        <v>0</v>
      </c>
    </row>
    <row collapsed="false" customFormat="true" customHeight="false" hidden="false" outlineLevel="0" r="41">
      <c r="A41" s="2" t="s">
        <v>32</v>
      </c>
      <c r="B41" s="2" t="s">
        <v>403</v>
      </c>
      <c r="C41" s="3" t="n">
        <v>8</v>
      </c>
      <c r="D41" s="3" t="n">
        <v>80</v>
      </c>
      <c r="E41" s="4" t="n">
        <f>46289.5432292903 + (VLOOKUP($B$1,TimeZones!$A$1:$C$28,2,FALSE))/24</f>
        <v>46289.70989595694</v>
      </c>
      <c r="F41" s="4" t="n">
        <f>46289.5449497972 + (VLOOKUP($B$1,TimeZones!$A$1:$C$28,2,FALSE))/24</f>
        <v>46289.71161646389</v>
      </c>
      <c r="G41" s="2" t="s">
        <v>0</v>
      </c>
    </row>
    <row collapsed="false" customFormat="true" customHeight="false" hidden="false" outlineLevel="0" r="42">
      <c r="A42" s="2" t="s">
        <v>33</v>
      </c>
      <c r="B42" s="2" t="s">
        <v>270</v>
      </c>
      <c r="C42" s="3" t="n">
        <v>6</v>
      </c>
      <c r="D42" s="3" t="n">
        <v>80</v>
      </c>
      <c r="E42" s="4" t="n">
        <f>46289.7152089501 + (VLOOKUP($B$1,TimeZones!$A$1:$C$28,2,FALSE))/24</f>
        <v>46289.88187561673</v>
      </c>
      <c r="F42" s="4" t="n">
        <f>46289.7167476028 + (VLOOKUP($B$1,TimeZones!$A$1:$C$28,2,FALSE))/24</f>
        <v>46289.8834142695</v>
      </c>
      <c r="G42" s="2" t="s">
        <v>0</v>
      </c>
    </row>
    <row collapsed="false" customFormat="true" customHeight="false" hidden="false" outlineLevel="0" r="43">
      <c r="A43" s="2" t="s">
        <v>45</v>
      </c>
      <c r="B43" s="2" t="s">
        <v>222</v>
      </c>
      <c r="C43" s="3" t="n">
        <v>2</v>
      </c>
      <c r="D43" s="3" t="n">
        <v>80</v>
      </c>
      <c r="E43" s="4" t="n">
        <f>46289.6452524345 + (VLOOKUP($B$1,TimeZones!$A$1:$C$28,2,FALSE))/24</f>
        <v>46289.8119191012</v>
      </c>
      <c r="F43" s="4" t="n">
        <f>46289.6526207732 + (VLOOKUP($B$1,TimeZones!$A$1:$C$28,2,FALSE))/24</f>
        <v>46289.819287439896</v>
      </c>
      <c r="G43" s="2" t="s">
        <v>0</v>
      </c>
    </row>
    <row collapsed="false" customFormat="true" customHeight="false" hidden="false" outlineLevel="0" r="44">
      <c r="A44" s="2" t="s">
        <v>43</v>
      </c>
      <c r="B44" s="2" t="s">
        <v>389</v>
      </c>
      <c r="C44" s="3" t="n">
        <v>1</v>
      </c>
      <c r="D44" s="3" t="n">
        <v>80</v>
      </c>
      <c r="E44" s="4" t="n">
        <f>46289.7165386544 + (VLOOKUP($B$1,TimeZones!$A$1:$C$28,2,FALSE))/24</f>
        <v>46289.88320532105</v>
      </c>
      <c r="F44" s="4" t="n">
        <f>46289.7273098087 + (VLOOKUP($B$1,TimeZones!$A$1:$C$28,2,FALSE))/24</f>
        <v>46289.893976475345</v>
      </c>
      <c r="G44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404</v>
      </c>
      <c r="B1" s="2" t="s">
        <v>189</v>
      </c>
    </row>
    <row collapsed="false" customFormat="true" customHeight="false" hidden="false" outlineLevel="0" r="3">
      <c r="A3" s="1" t="s">
        <v>279</v>
      </c>
      <c r="B3" s="1" t="s">
        <v>395</v>
      </c>
      <c r="C3" s="1" t="s">
        <v>315</v>
      </c>
      <c r="D3" s="1" t="s">
        <v>298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369</v>
      </c>
      <c r="H3" s="1" t="s">
        <v>227</v>
      </c>
    </row>
    <row collapsed="false" customFormat="true" customHeight="false" hidden="false" outlineLevel="0" r="4">
      <c r="A4" s="2" t="s">
        <v>90</v>
      </c>
      <c r="B4" s="2" t="s">
        <v>234</v>
      </c>
      <c r="C4" s="3" t="n">
        <v>70</v>
      </c>
      <c r="D4" s="3" t="n">
        <v>80</v>
      </c>
      <c r="E4" s="4" t="n">
        <f>46289.5123562455 + (VLOOKUP($B$1,TimeZones!$A$1:$C$28,2,FALSE))/24</f>
        <v>46289.6790229122</v>
      </c>
      <c r="F4" s="4" t="n">
        <f>46289.5371508716 + (VLOOKUP($B$1,TimeZones!$A$1:$C$28,2,FALSE))/24</f>
        <v>46289.7038175383</v>
      </c>
      <c r="G4" s="2" t="s">
        <v>0</v>
      </c>
    </row>
    <row collapsed="false" customFormat="true" customHeight="false" hidden="false" outlineLevel="0" r="5">
      <c r="A5" s="2" t="s">
        <v>75</v>
      </c>
      <c r="B5" s="2" t="s">
        <v>278</v>
      </c>
      <c r="C5" s="3" t="n">
        <v>58</v>
      </c>
      <c r="D5" s="3" t="n">
        <v>80</v>
      </c>
      <c r="E5" s="4" t="n">
        <f>46289.5638815502 + (VLOOKUP($B$1,TimeZones!$A$1:$C$28,2,FALSE))/24</f>
        <v>46289.73054821692</v>
      </c>
      <c r="F5" s="4" t="n">
        <f>46289.5830366752 + (VLOOKUP($B$1,TimeZones!$A$1:$C$28,2,FALSE))/24</f>
        <v>46289.74970334186</v>
      </c>
      <c r="G5" s="2" t="s">
        <v>0</v>
      </c>
    </row>
    <row collapsed="false" customFormat="true" customHeight="false" hidden="false" outlineLevel="0" r="6">
      <c r="A6" s="2" t="s">
        <v>87</v>
      </c>
      <c r="B6" s="2" t="s">
        <v>285</v>
      </c>
      <c r="C6" s="3" t="n">
        <v>58</v>
      </c>
      <c r="D6" s="3" t="n">
        <v>80</v>
      </c>
      <c r="E6" s="4" t="n">
        <f>46289.5043327355 + (VLOOKUP($B$1,TimeZones!$A$1:$C$28,2,FALSE))/24</f>
        <v>46289.67099940214</v>
      </c>
      <c r="F6" s="4" t="n">
        <f>46289.5120385078 + (VLOOKUP($B$1,TimeZones!$A$1:$C$28,2,FALSE))/24</f>
        <v>46289.678705174476</v>
      </c>
      <c r="G6" s="2" t="s">
        <v>0</v>
      </c>
    </row>
    <row collapsed="false" customFormat="true" customHeight="false" hidden="false" outlineLevel="0" r="7">
      <c r="A7" s="2" t="s">
        <v>76</v>
      </c>
      <c r="B7" s="2" t="s">
        <v>237</v>
      </c>
      <c r="C7" s="3" t="n">
        <v>56</v>
      </c>
      <c r="D7" s="3" t="n">
        <v>80</v>
      </c>
      <c r="E7" s="4" t="n">
        <f>46289.6814482131 + (VLOOKUP($B$1,TimeZones!$A$1:$C$28,2,FALSE))/24</f>
        <v>46289.84811487972</v>
      </c>
      <c r="F7" s="4" t="n">
        <f>46289.6918711997 + (VLOOKUP($B$1,TimeZones!$A$1:$C$28,2,FALSE))/24</f>
        <v>46289.85853786633</v>
      </c>
      <c r="G7" s="2" t="s">
        <v>0</v>
      </c>
    </row>
    <row collapsed="false" customFormat="true" customHeight="false" hidden="false" outlineLevel="0" r="8">
      <c r="A8" s="2" t="s">
        <v>56</v>
      </c>
      <c r="B8" s="2" t="s">
        <v>316</v>
      </c>
      <c r="C8" s="3" t="n">
        <v>53</v>
      </c>
      <c r="D8" s="3" t="n">
        <v>80</v>
      </c>
      <c r="E8" s="4" t="n">
        <f>46289.7202030156 + (VLOOKUP($B$1,TimeZones!$A$1:$C$28,2,FALSE))/24</f>
        <v>46289.88686968227</v>
      </c>
      <c r="F8" s="4" t="n">
        <f>46289.7323003572 + (VLOOKUP($B$1,TimeZones!$A$1:$C$28,2,FALSE))/24</f>
        <v>46289.89896702389</v>
      </c>
      <c r="G8" s="2" t="s">
        <v>0</v>
      </c>
    </row>
    <row collapsed="false" customFormat="true" customHeight="false" hidden="false" outlineLevel="0" r="9">
      <c r="A9" s="2" t="s">
        <v>77</v>
      </c>
      <c r="B9" s="2" t="s">
        <v>268</v>
      </c>
      <c r="C9" s="3" t="n">
        <v>50</v>
      </c>
      <c r="D9" s="3" t="n">
        <v>80</v>
      </c>
      <c r="E9" s="4" t="n">
        <f>46289.7281676196 + (VLOOKUP($B$1,TimeZones!$A$1:$C$28,2,FALSE))/24</f>
        <v>46289.89483428627</v>
      </c>
      <c r="F9" s="4" t="n">
        <f>46289.7460260869 + (VLOOKUP($B$1,TimeZones!$A$1:$C$28,2,FALSE))/24</f>
        <v>46289.912692753605</v>
      </c>
      <c r="G9" s="2" t="s">
        <v>0</v>
      </c>
    </row>
    <row collapsed="false" customFormat="true" customHeight="false" hidden="false" outlineLevel="0" r="10">
      <c r="A10" s="2" t="s">
        <v>55</v>
      </c>
      <c r="B10" s="2" t="s">
        <v>231</v>
      </c>
      <c r="C10" s="3" t="n">
        <v>48</v>
      </c>
      <c r="D10" s="3" t="n">
        <v>80</v>
      </c>
      <c r="E10" s="4" t="n">
        <f>46289.4947003174 + (VLOOKUP($B$1,TimeZones!$A$1:$C$28,2,FALSE))/24</f>
        <v>46289.66136698404</v>
      </c>
      <c r="F10" s="4" t="n">
        <f>46289.5173539540 + (VLOOKUP($B$1,TimeZones!$A$1:$C$28,2,FALSE))/24</f>
        <v>46289.68402062061</v>
      </c>
      <c r="G10" s="2" t="s">
        <v>0</v>
      </c>
    </row>
    <row collapsed="false" customFormat="true" customHeight="false" hidden="false" outlineLevel="0" r="11">
      <c r="A11" s="2" t="s">
        <v>91</v>
      </c>
      <c r="B11" s="2" t="s">
        <v>248</v>
      </c>
      <c r="C11" s="3" t="n">
        <v>48</v>
      </c>
      <c r="D11" s="3" t="n">
        <v>80</v>
      </c>
      <c r="E11" s="4" t="n">
        <f>46289.6770926451 + (VLOOKUP($B$1,TimeZones!$A$1:$C$28,2,FALSE))/24</f>
        <v>46289.843759311756</v>
      </c>
      <c r="F11" s="4" t="n">
        <f>46289.6890579222 + (VLOOKUP($B$1,TimeZones!$A$1:$C$28,2,FALSE))/24</f>
        <v>46289.855724588815</v>
      </c>
      <c r="G11" s="2" t="s">
        <v>0</v>
      </c>
    </row>
    <row collapsed="false" customFormat="true" customHeight="false" hidden="false" outlineLevel="0" r="12">
      <c r="A12" s="2" t="s">
        <v>59</v>
      </c>
      <c r="B12" s="2" t="s">
        <v>304</v>
      </c>
      <c r="C12" s="3" t="n">
        <v>48</v>
      </c>
      <c r="D12" s="3" t="n">
        <v>80</v>
      </c>
      <c r="E12" s="4" t="n">
        <f>46289.5078790893 + (VLOOKUP($B$1,TimeZones!$A$1:$C$28,2,FALSE))/24</f>
        <v>46289.67454575597</v>
      </c>
      <c r="F12" s="4" t="n">
        <f>46289.5153679883 + (VLOOKUP($B$1,TimeZones!$A$1:$C$28,2,FALSE))/24</f>
        <v>46289.68203465501</v>
      </c>
      <c r="G12" s="2" t="s">
        <v>0</v>
      </c>
    </row>
    <row collapsed="false" customFormat="true" customHeight="false" hidden="false" outlineLevel="0" r="13">
      <c r="A13" s="2" t="s">
        <v>83</v>
      </c>
      <c r="B13" s="2" t="s">
        <v>252</v>
      </c>
      <c r="C13" s="3" t="n">
        <v>47</v>
      </c>
      <c r="D13" s="3" t="n">
        <v>80</v>
      </c>
      <c r="E13" s="4" t="n">
        <f>46289.6570735102 + (VLOOKUP($B$1,TimeZones!$A$1:$C$28,2,FALSE))/24</f>
        <v>46289.82374017689</v>
      </c>
      <c r="F13" s="4" t="n">
        <f>46289.6641002742 + (VLOOKUP($B$1,TimeZones!$A$1:$C$28,2,FALSE))/24</f>
        <v>46289.830766940846</v>
      </c>
      <c r="G13" s="2" t="s">
        <v>0</v>
      </c>
    </row>
    <row collapsed="false" customFormat="true" customHeight="false" hidden="false" outlineLevel="0" r="14">
      <c r="A14" s="2" t="s">
        <v>57</v>
      </c>
      <c r="B14" s="2" t="s">
        <v>338</v>
      </c>
      <c r="C14" s="3" t="n">
        <v>47</v>
      </c>
      <c r="D14" s="3" t="n">
        <v>80</v>
      </c>
      <c r="E14" s="4" t="n">
        <f>46289.5984422339 + (VLOOKUP($B$1,TimeZones!$A$1:$C$28,2,FALSE))/24</f>
        <v>46289.76510890053</v>
      </c>
      <c r="F14" s="4" t="n">
        <f>46289.6095136426 + (VLOOKUP($B$1,TimeZones!$A$1:$C$28,2,FALSE))/24</f>
        <v>46289.7761803093</v>
      </c>
      <c r="G14" s="2" t="s">
        <v>0</v>
      </c>
    </row>
    <row collapsed="false" customFormat="true" customHeight="false" hidden="false" outlineLevel="0" r="15">
      <c r="A15" s="2" t="s">
        <v>80</v>
      </c>
      <c r="B15" s="2" t="s">
        <v>273</v>
      </c>
      <c r="C15" s="3" t="n">
        <v>46</v>
      </c>
      <c r="D15" s="3" t="n">
        <v>80</v>
      </c>
      <c r="E15" s="4" t="n">
        <f>46289.6900078049 + (VLOOKUP($B$1,TimeZones!$A$1:$C$28,2,FALSE))/24</f>
        <v>46289.856674471535</v>
      </c>
      <c r="F15" s="4" t="n">
        <f>46289.6978373715 + (VLOOKUP($B$1,TimeZones!$A$1:$C$28,2,FALSE))/24</f>
        <v>46289.86450403819</v>
      </c>
      <c r="G15" s="2" t="s">
        <v>0</v>
      </c>
    </row>
    <row collapsed="false" customFormat="true" customHeight="false" hidden="false" outlineLevel="0" r="16">
      <c r="A16" s="2" t="s">
        <v>88</v>
      </c>
      <c r="B16" s="2" t="s">
        <v>288</v>
      </c>
      <c r="C16" s="3" t="n">
        <v>46</v>
      </c>
      <c r="D16" s="3" t="n">
        <v>80</v>
      </c>
      <c r="E16" s="4" t="n">
        <f>46289.6825188257 + (VLOOKUP($B$1,TimeZones!$A$1:$C$28,2,FALSE))/24</f>
        <v>46289.84918549239</v>
      </c>
      <c r="F16" s="4" t="n">
        <f>46289.6926044498 + (VLOOKUP($B$1,TimeZones!$A$1:$C$28,2,FALSE))/24</f>
        <v>46289.859271116424</v>
      </c>
      <c r="G16" s="2" t="s">
        <v>0</v>
      </c>
    </row>
    <row collapsed="false" customFormat="true" customHeight="false" hidden="false" outlineLevel="0" r="17">
      <c r="A17" s="2" t="s">
        <v>78</v>
      </c>
      <c r="B17" s="2" t="s">
        <v>308</v>
      </c>
      <c r="C17" s="3" t="n">
        <v>45</v>
      </c>
      <c r="D17" s="3" t="n">
        <v>80</v>
      </c>
      <c r="E17" s="4" t="n">
        <f>46289.5453371066 + (VLOOKUP($B$1,TimeZones!$A$1:$C$28,2,FALSE))/24</f>
        <v>46289.712003773224</v>
      </c>
      <c r="F17" s="4" t="n">
        <f>46289.5596112066 + (VLOOKUP($B$1,TimeZones!$A$1:$C$28,2,FALSE))/24</f>
        <v>46289.72627787322</v>
      </c>
      <c r="G17" s="2" t="s">
        <v>0</v>
      </c>
    </row>
    <row collapsed="false" customFormat="true" customHeight="false" hidden="false" outlineLevel="0" r="18">
      <c r="A18" s="2" t="s">
        <v>79</v>
      </c>
      <c r="B18" s="2" t="s">
        <v>243</v>
      </c>
      <c r="C18" s="3" t="n">
        <v>44</v>
      </c>
      <c r="D18" s="3" t="n">
        <v>80</v>
      </c>
      <c r="E18" s="4" t="n">
        <f>46289.5853269889 + (VLOOKUP($B$1,TimeZones!$A$1:$C$28,2,FALSE))/24</f>
        <v>46289.75199365552</v>
      </c>
      <c r="F18" s="4" t="n">
        <f>46289.5953821094 + (VLOOKUP($B$1,TimeZones!$A$1:$C$28,2,FALSE))/24</f>
        <v>46289.76204877605</v>
      </c>
      <c r="G18" s="2" t="s">
        <v>0</v>
      </c>
    </row>
    <row collapsed="false" customFormat="true" customHeight="false" hidden="false" outlineLevel="0" r="19">
      <c r="A19" s="2" t="s">
        <v>74</v>
      </c>
      <c r="B19" s="2" t="s">
        <v>376</v>
      </c>
      <c r="C19" s="3" t="n">
        <v>44</v>
      </c>
      <c r="D19" s="3" t="n">
        <v>80</v>
      </c>
      <c r="E19" s="4" t="n">
        <f>46289.4947507797 + (VLOOKUP($B$1,TimeZones!$A$1:$C$28,2,FALSE))/24</f>
        <v>46289.66141744638</v>
      </c>
      <c r="F19" s="4" t="n">
        <f>46289.5010842202 + (VLOOKUP($B$1,TimeZones!$A$1:$C$28,2,FALSE))/24</f>
        <v>46289.66775088685</v>
      </c>
      <c r="G19" s="2" t="s">
        <v>0</v>
      </c>
    </row>
    <row collapsed="false" customFormat="true" customHeight="false" hidden="false" outlineLevel="0" r="20">
      <c r="A20" s="2" t="s">
        <v>68</v>
      </c>
      <c r="B20" s="2" t="s">
        <v>292</v>
      </c>
      <c r="C20" s="3" t="n">
        <v>43</v>
      </c>
      <c r="D20" s="3" t="n">
        <v>80</v>
      </c>
      <c r="E20" s="4" t="n">
        <f>46289.4985615465 + (VLOOKUP($B$1,TimeZones!$A$1:$C$28,2,FALSE))/24</f>
        <v>46289.66522821319</v>
      </c>
      <c r="F20" s="4" t="n">
        <f>46289.5056819056 + (VLOOKUP($B$1,TimeZones!$A$1:$C$28,2,FALSE))/24</f>
        <v>46289.67234857231</v>
      </c>
      <c r="G20" s="2" t="s">
        <v>0</v>
      </c>
    </row>
    <row collapsed="false" customFormat="true" customHeight="false" hidden="false" outlineLevel="0" r="21">
      <c r="A21" s="2" t="s">
        <v>89</v>
      </c>
      <c r="B21" s="2" t="s">
        <v>242</v>
      </c>
      <c r="C21" s="3" t="n">
        <v>41</v>
      </c>
      <c r="D21" s="3" t="n">
        <v>80</v>
      </c>
      <c r="E21" s="4" t="n">
        <f>46289.5251704690 + (VLOOKUP($B$1,TimeZones!$A$1:$C$28,2,FALSE))/24</f>
        <v>46289.69183713566</v>
      </c>
      <c r="F21" s="4" t="n">
        <f>46289.5362199110 + (VLOOKUP($B$1,TimeZones!$A$1:$C$28,2,FALSE))/24</f>
        <v>46289.70288657772</v>
      </c>
      <c r="G21" s="2" t="s">
        <v>0</v>
      </c>
    </row>
    <row collapsed="false" customFormat="true" customHeight="false" hidden="false" outlineLevel="0" r="22">
      <c r="A22" s="2" t="s">
        <v>63</v>
      </c>
      <c r="B22" s="2" t="s">
        <v>217</v>
      </c>
      <c r="C22" s="3" t="n">
        <v>40</v>
      </c>
      <c r="D22" s="3" t="n">
        <v>80</v>
      </c>
      <c r="E22" s="4" t="n">
        <f>46289.6652278193 + (VLOOKUP($B$1,TimeZones!$A$1:$C$28,2,FALSE))/24</f>
        <v>46289.83189448592</v>
      </c>
      <c r="F22" s="4" t="n">
        <f>46289.6786948229 + (VLOOKUP($B$1,TimeZones!$A$1:$C$28,2,FALSE))/24</f>
        <v>46289.845361489584</v>
      </c>
      <c r="G22" s="2" t="s">
        <v>0</v>
      </c>
    </row>
    <row collapsed="false" customFormat="true" customHeight="false" hidden="false" outlineLevel="0" r="23">
      <c r="A23" s="2" t="s">
        <v>73</v>
      </c>
      <c r="B23" s="2" t="s">
        <v>296</v>
      </c>
      <c r="C23" s="3" t="n">
        <v>40</v>
      </c>
      <c r="D23" s="3" t="n">
        <v>80</v>
      </c>
      <c r="E23" s="4" t="n">
        <f>46289.5539833558 + (VLOOKUP($B$1,TimeZones!$A$1:$C$28,2,FALSE))/24</f>
        <v>46289.72065002251</v>
      </c>
      <c r="F23" s="4" t="n">
        <f>46289.5665646260 + (VLOOKUP($B$1,TimeZones!$A$1:$C$28,2,FALSE))/24</f>
        <v>46289.733231292645</v>
      </c>
      <c r="G23" s="2" t="s">
        <v>0</v>
      </c>
    </row>
    <row collapsed="false" customFormat="true" customHeight="false" hidden="false" outlineLevel="0" r="24">
      <c r="A24" s="2" t="s">
        <v>61</v>
      </c>
      <c r="B24" s="2" t="s">
        <v>254</v>
      </c>
      <c r="C24" s="3" t="n">
        <v>39</v>
      </c>
      <c r="D24" s="3" t="n">
        <v>80</v>
      </c>
      <c r="E24" s="4" t="n">
        <f>46289.6585454185 + (VLOOKUP($B$1,TimeZones!$A$1:$C$28,2,FALSE))/24</f>
        <v>46289.82521208517</v>
      </c>
      <c r="F24" s="4" t="n">
        <f>46289.6747714833 + (VLOOKUP($B$1,TimeZones!$A$1:$C$28,2,FALSE))/24</f>
        <v>46289.84143814993</v>
      </c>
      <c r="G24" s="2" t="s">
        <v>0</v>
      </c>
    </row>
    <row collapsed="false" customFormat="true" customHeight="false" hidden="false" outlineLevel="0" r="25">
      <c r="A25" s="2" t="s">
        <v>71</v>
      </c>
      <c r="B25" s="2" t="s">
        <v>378</v>
      </c>
      <c r="C25" s="3" t="n">
        <v>39</v>
      </c>
      <c r="D25" s="3" t="n">
        <v>80</v>
      </c>
      <c r="E25" s="4" t="n">
        <f>46289.6093579437 + (VLOOKUP($B$1,TimeZones!$A$1:$C$28,2,FALSE))/24</f>
        <v>46289.77602461039</v>
      </c>
      <c r="F25" s="4" t="n">
        <f>46289.6206124607 + (VLOOKUP($B$1,TimeZones!$A$1:$C$28,2,FALSE))/24</f>
        <v>46289.78727912737</v>
      </c>
      <c r="G25" s="2" t="s">
        <v>0</v>
      </c>
    </row>
    <row collapsed="false" customFormat="true" customHeight="false" hidden="false" outlineLevel="0" r="26">
      <c r="A26" s="2" t="s">
        <v>67</v>
      </c>
      <c r="B26" s="2" t="s">
        <v>206</v>
      </c>
      <c r="C26" s="3" t="n">
        <v>36</v>
      </c>
      <c r="D26" s="3" t="n">
        <v>80</v>
      </c>
      <c r="E26" s="4" t="n">
        <f>46289.5452161375 + (VLOOKUP($B$1,TimeZones!$A$1:$C$28,2,FALSE))/24</f>
        <v>46289.71188280418</v>
      </c>
      <c r="F26" s="4" t="n">
        <f>46289.5533242605 + (VLOOKUP($B$1,TimeZones!$A$1:$C$28,2,FALSE))/24</f>
        <v>46289.71999092713</v>
      </c>
      <c r="G26" s="2" t="s">
        <v>0</v>
      </c>
    </row>
    <row collapsed="false" customFormat="true" customHeight="false" hidden="false" outlineLevel="0" r="27">
      <c r="A27" s="2" t="s">
        <v>81</v>
      </c>
      <c r="B27" s="2" t="s">
        <v>337</v>
      </c>
      <c r="C27" s="3" t="n">
        <v>35</v>
      </c>
      <c r="D27" s="3" t="n">
        <v>80</v>
      </c>
      <c r="E27" s="4" t="n">
        <f>46289.5773669357 + (VLOOKUP($B$1,TimeZones!$A$1:$C$28,2,FALSE))/24</f>
        <v>46289.74403360237</v>
      </c>
      <c r="F27" s="4" t="n">
        <f>46289.5890999580 + (VLOOKUP($B$1,TimeZones!$A$1:$C$28,2,FALSE))/24</f>
        <v>46289.75576662471</v>
      </c>
      <c r="G27" s="2" t="s">
        <v>0</v>
      </c>
    </row>
    <row collapsed="false" customFormat="true" customHeight="false" hidden="false" outlineLevel="0" r="28">
      <c r="A28" s="2" t="s">
        <v>70</v>
      </c>
      <c r="B28" s="2" t="s">
        <v>365</v>
      </c>
      <c r="C28" s="3" t="n">
        <v>34</v>
      </c>
      <c r="D28" s="3" t="n">
        <v>80</v>
      </c>
      <c r="E28" s="4" t="n">
        <f>46289.5274135782 + (VLOOKUP($B$1,TimeZones!$A$1:$C$28,2,FALSE))/24</f>
        <v>46289.69408024486</v>
      </c>
      <c r="F28" s="4" t="n">
        <f>46289.5396937274 + (VLOOKUP($B$1,TimeZones!$A$1:$C$28,2,FALSE))/24</f>
        <v>46289.70636039405</v>
      </c>
      <c r="G28" s="2" t="s">
        <v>0</v>
      </c>
    </row>
    <row collapsed="false" customFormat="true" customHeight="false" hidden="false" outlineLevel="0" r="29">
      <c r="A29" s="2" t="s">
        <v>82</v>
      </c>
      <c r="B29" s="2" t="s">
        <v>402</v>
      </c>
      <c r="C29" s="3" t="n">
        <v>34</v>
      </c>
      <c r="D29" s="3" t="n">
        <v>80</v>
      </c>
      <c r="E29" s="4" t="n">
        <f>46289.5011986595 + (VLOOKUP($B$1,TimeZones!$A$1:$C$28,2,FALSE))/24</f>
        <v>46289.66786532617</v>
      </c>
      <c r="F29" s="4" t="n">
        <f>46289.5128724190 + (VLOOKUP($B$1,TimeZones!$A$1:$C$28,2,FALSE))/24</f>
        <v>46289.67953908569</v>
      </c>
      <c r="G29" s="2" t="s">
        <v>0</v>
      </c>
    </row>
    <row collapsed="false" customFormat="true" customHeight="false" hidden="false" outlineLevel="0" r="30">
      <c r="A30" s="2" t="s">
        <v>65</v>
      </c>
      <c r="B30" s="2" t="s">
        <v>251</v>
      </c>
      <c r="C30" s="3" t="n">
        <v>31</v>
      </c>
      <c r="D30" s="3" t="n">
        <v>80</v>
      </c>
      <c r="E30" s="4" t="n">
        <f>46289.5388868840 + (VLOOKUP($B$1,TimeZones!$A$1:$C$28,2,FALSE))/24</f>
        <v>46289.70555355072</v>
      </c>
      <c r="F30" s="4" t="n">
        <f>46289.5560291423 + (VLOOKUP($B$1,TimeZones!$A$1:$C$28,2,FALSE))/24</f>
        <v>46289.722695809</v>
      </c>
      <c r="G30" s="2" t="s">
        <v>0</v>
      </c>
    </row>
    <row collapsed="false" customFormat="true" customHeight="false" hidden="false" outlineLevel="0" r="31">
      <c r="A31" s="2" t="s">
        <v>58</v>
      </c>
      <c r="B31" s="2" t="s">
        <v>220</v>
      </c>
      <c r="C31" s="3" t="n">
        <v>30</v>
      </c>
      <c r="D31" s="3" t="n">
        <v>80</v>
      </c>
      <c r="E31" s="4" t="n">
        <f>46289.6089468760 + (VLOOKUP($B$1,TimeZones!$A$1:$C$28,2,FALSE))/24</f>
        <v>46289.775613542624</v>
      </c>
      <c r="F31" s="4" t="n">
        <f>46289.6163868481 + (VLOOKUP($B$1,TimeZones!$A$1:$C$28,2,FALSE))/24</f>
        <v>46289.78305351473</v>
      </c>
      <c r="G31" s="2" t="s">
        <v>0</v>
      </c>
    </row>
    <row collapsed="false" customFormat="true" customHeight="false" hidden="false" outlineLevel="0" r="32">
      <c r="A32" s="2" t="s">
        <v>86</v>
      </c>
      <c r="B32" s="2" t="s">
        <v>256</v>
      </c>
      <c r="C32" s="3" t="n">
        <v>30</v>
      </c>
      <c r="D32" s="3" t="n">
        <v>80</v>
      </c>
      <c r="E32" s="4" t="n">
        <f>46289.6773033041 + (VLOOKUP($B$1,TimeZones!$A$1:$C$28,2,FALSE))/24</f>
        <v>46289.84396997078</v>
      </c>
      <c r="F32" s="4" t="n">
        <f>46289.6817336167 + (VLOOKUP($B$1,TimeZones!$A$1:$C$28,2,FALSE))/24</f>
        <v>46289.84840028332</v>
      </c>
      <c r="G32" s="2" t="s">
        <v>0</v>
      </c>
    </row>
    <row collapsed="false" customFormat="true" customHeight="false" hidden="false" outlineLevel="0" r="33">
      <c r="A33" s="2" t="s">
        <v>72</v>
      </c>
      <c r="B33" s="2" t="s">
        <v>339</v>
      </c>
      <c r="C33" s="3" t="n">
        <v>30</v>
      </c>
      <c r="D33" s="3" t="n">
        <v>80</v>
      </c>
      <c r="E33" s="4" t="n">
        <f>46289.6427704815 + (VLOOKUP($B$1,TimeZones!$A$1:$C$28,2,FALSE))/24</f>
        <v>46289.8094371482</v>
      </c>
      <c r="F33" s="4" t="n">
        <f>46289.6488419657 + (VLOOKUP($B$1,TimeZones!$A$1:$C$28,2,FALSE))/24</f>
        <v>46289.81550863238</v>
      </c>
      <c r="G33" s="2" t="s">
        <v>0</v>
      </c>
    </row>
    <row collapsed="false" customFormat="true" customHeight="false" hidden="false" outlineLevel="0" r="34">
      <c r="A34" s="2" t="s">
        <v>85</v>
      </c>
      <c r="B34" s="2" t="s">
        <v>377</v>
      </c>
      <c r="C34" s="3" t="n">
        <v>30</v>
      </c>
      <c r="D34" s="3" t="n">
        <v>80</v>
      </c>
      <c r="E34" s="4" t="n">
        <f>46289.7022105984 + (VLOOKUP($B$1,TimeZones!$A$1:$C$28,2,FALSE))/24</f>
        <v>46289.868877265115</v>
      </c>
      <c r="F34" s="4" t="n">
        <f>46289.7122266251 + (VLOOKUP($B$1,TimeZones!$A$1:$C$28,2,FALSE))/24</f>
        <v>46289.87889329176</v>
      </c>
      <c r="G34" s="2" t="s">
        <v>0</v>
      </c>
    </row>
    <row collapsed="false" customFormat="true" customHeight="false" hidden="false" outlineLevel="0" r="35">
      <c r="A35" s="2" t="s">
        <v>62</v>
      </c>
      <c r="B35" s="2" t="s">
        <v>253</v>
      </c>
      <c r="C35" s="3" t="n">
        <v>29</v>
      </c>
      <c r="D35" s="3" t="n">
        <v>80</v>
      </c>
      <c r="E35" s="4" t="n">
        <f>46289.7324214193 + (VLOOKUP($B$1,TimeZones!$A$1:$C$28,2,FALSE))/24</f>
        <v>46289.89908808592</v>
      </c>
      <c r="F35" s="4" t="n">
        <f>46289.7407182776 + (VLOOKUP($B$1,TimeZones!$A$1:$C$28,2,FALSE))/24</f>
        <v>46289.90738494426</v>
      </c>
      <c r="G35" s="2" t="s">
        <v>0</v>
      </c>
    </row>
    <row collapsed="false" customFormat="true" customHeight="false" hidden="false" outlineLevel="0" r="36">
      <c r="A36" s="2" t="s">
        <v>66</v>
      </c>
      <c r="B36" s="2" t="s">
        <v>358</v>
      </c>
      <c r="C36" s="3" t="n">
        <v>29</v>
      </c>
      <c r="D36" s="3" t="n">
        <v>80</v>
      </c>
      <c r="E36" s="4" t="n">
        <f>46289.5533791280 + (VLOOKUP($B$1,TimeZones!$A$1:$C$28,2,FALSE))/24</f>
        <v>46289.72004579462</v>
      </c>
      <c r="F36" s="4" t="n">
        <f>46289.5622151584 + (VLOOKUP($B$1,TimeZones!$A$1:$C$28,2,FALSE))/24</f>
        <v>46289.7288818251</v>
      </c>
      <c r="G36" s="2" t="s">
        <v>0</v>
      </c>
    </row>
    <row collapsed="false" customFormat="true" customHeight="false" hidden="false" outlineLevel="0" r="37">
      <c r="A37" s="2" t="s">
        <v>69</v>
      </c>
      <c r="B37" s="2" t="s">
        <v>361</v>
      </c>
      <c r="C37" s="3" t="n">
        <v>21</v>
      </c>
      <c r="D37" s="3" t="n">
        <v>80</v>
      </c>
      <c r="E37" s="4" t="n">
        <f>46289.4923297784 + (VLOOKUP($B$1,TimeZones!$A$1:$C$28,2,FALSE))/24</f>
        <v>46289.65899644507</v>
      </c>
      <c r="F37" s="4" t="n">
        <f>46289.5009641976 + (VLOOKUP($B$1,TimeZones!$A$1:$C$28,2,FALSE))/24</f>
        <v>46289.6676308643</v>
      </c>
      <c r="G37" s="2" t="s">
        <v>0</v>
      </c>
    </row>
    <row collapsed="false" customFormat="true" customHeight="false" hidden="false" outlineLevel="0" r="38">
      <c r="A38" s="2" t="s">
        <v>84</v>
      </c>
      <c r="B38" s="2" t="s">
        <v>190</v>
      </c>
      <c r="C38" s="3" t="n">
        <v>14</v>
      </c>
      <c r="D38" s="3" t="n">
        <v>80</v>
      </c>
      <c r="E38" s="4" t="n">
        <f>46289.7478830594 + (VLOOKUP($B$1,TimeZones!$A$1:$C$28,2,FALSE))/24</f>
        <v>46289.91454972604</v>
      </c>
      <c r="F38" s="4" t="n">
        <f>46289.7500000000 + (VLOOKUP($B$1,TimeZones!$A$1:$C$28,2,FALSE))/24</f>
        <v>46289.916666666664</v>
      </c>
      <c r="G38" s="2" t="s">
        <v>0</v>
      </c>
    </row>
    <row collapsed="false" customFormat="true" customHeight="false" hidden="false" outlineLevel="0" r="39">
      <c r="A39" s="2" t="s">
        <v>60</v>
      </c>
      <c r="B39" s="2" t="s">
        <v>385</v>
      </c>
      <c r="C39" s="3" t="n">
        <v>4</v>
      </c>
      <c r="D39" s="3" t="n">
        <v>80</v>
      </c>
      <c r="E39" s="4" t="n">
        <f>46289.6790013824 + (VLOOKUP($B$1,TimeZones!$A$1:$C$28,2,FALSE))/24</f>
        <v>46289.84566804909</v>
      </c>
      <c r="F39" s="4" t="n">
        <f>46289.6828919347 + (VLOOKUP($B$1,TimeZones!$A$1:$C$28,2,FALSE))/24</f>
        <v>46289.849558601396</v>
      </c>
      <c r="G39" s="2" t="s">
        <v>0</v>
      </c>
    </row>
    <row collapsed="false" customFormat="true" customHeight="false" hidden="false" outlineLevel="0" r="40">
      <c r="A40" s="2" t="s">
        <v>64</v>
      </c>
      <c r="B40" s="2" t="s">
        <v>412</v>
      </c>
      <c r="C40" s="3" t="n">
        <v>0</v>
      </c>
      <c r="D40" s="3" t="n">
        <v>80</v>
      </c>
      <c r="E40" s="4" t="n">
        <f>46289.7499801099 + (VLOOKUP($B$1,TimeZones!$A$1:$C$28,2,FALSE))/24</f>
        <v>46289.91664677654</v>
      </c>
      <c r="F40" s="4" t="n">
        <f>46289.7500000000 + (VLOOKUP($B$1,TimeZones!$A$1:$C$28,2,FALSE))/24</f>
        <v>46289.916666666664</v>
      </c>
      <c r="G40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404</v>
      </c>
      <c r="B1" s="2" t="s">
        <v>189</v>
      </c>
    </row>
    <row collapsed="false" customFormat="true" customHeight="false" hidden="false" outlineLevel="0" r="3">
      <c r="A3" s="1" t="s">
        <v>279</v>
      </c>
      <c r="B3" s="1" t="s">
        <v>395</v>
      </c>
      <c r="C3" s="1" t="s">
        <v>315</v>
      </c>
      <c r="D3" s="1" t="s">
        <v>298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369</v>
      </c>
      <c r="H3" s="1" t="s">
        <v>227</v>
      </c>
    </row>
    <row collapsed="false" customFormat="true" customHeight="false" hidden="false" outlineLevel="0" r="4">
      <c r="A4" s="2" t="s">
        <v>107</v>
      </c>
      <c r="B4" s="2" t="s">
        <v>230</v>
      </c>
      <c r="C4" s="3" t="n">
        <v>78</v>
      </c>
      <c r="D4" s="3" t="n">
        <v>80</v>
      </c>
      <c r="E4" s="4" t="n">
        <f>46289.6838122810 + (VLOOKUP($B$1,TimeZones!$A$1:$C$28,2,FALSE))/24</f>
        <v>46289.85047894767</v>
      </c>
      <c r="F4" s="4" t="n">
        <f>46289.7008105585 + (VLOOKUP($B$1,TimeZones!$A$1:$C$28,2,FALSE))/24</f>
        <v>46289.86747722518</v>
      </c>
      <c r="G4" s="2" t="s">
        <v>0</v>
      </c>
    </row>
    <row collapsed="false" customFormat="true" customHeight="false" hidden="false" outlineLevel="0" r="5">
      <c r="A5" s="2" t="s">
        <v>114</v>
      </c>
      <c r="B5" s="2" t="s">
        <v>202</v>
      </c>
      <c r="C5" s="3" t="n">
        <v>76</v>
      </c>
      <c r="D5" s="3" t="n">
        <v>80</v>
      </c>
      <c r="E5" s="4" t="n">
        <f>46289.6877448791 + (VLOOKUP($B$1,TimeZones!$A$1:$C$28,2,FALSE))/24</f>
        <v>46289.854411545784</v>
      </c>
      <c r="F5" s="4" t="n">
        <f>46289.7089351012 + (VLOOKUP($B$1,TimeZones!$A$1:$C$28,2,FALSE))/24</f>
        <v>46289.87560176787</v>
      </c>
      <c r="G5" s="2" t="s">
        <v>0</v>
      </c>
    </row>
    <row collapsed="false" customFormat="true" customHeight="false" hidden="false" outlineLevel="0" r="6">
      <c r="A6" s="2" t="s">
        <v>125</v>
      </c>
      <c r="B6" s="2" t="s">
        <v>411</v>
      </c>
      <c r="C6" s="3" t="n">
        <v>74</v>
      </c>
      <c r="D6" s="3" t="n">
        <v>80</v>
      </c>
      <c r="E6" s="4" t="n">
        <f>46289.5951059796 + (VLOOKUP($B$1,TimeZones!$A$1:$C$28,2,FALSE))/24</f>
        <v>46289.761772646256</v>
      </c>
      <c r="F6" s="4" t="n">
        <f>46289.6112385735 + (VLOOKUP($B$1,TimeZones!$A$1:$C$28,2,FALSE))/24</f>
        <v>46289.77790524016</v>
      </c>
      <c r="G6" s="2" t="s">
        <v>0</v>
      </c>
    </row>
    <row collapsed="false" customFormat="true" customHeight="false" hidden="false" outlineLevel="0" r="7">
      <c r="A7" s="2" t="s">
        <v>100</v>
      </c>
      <c r="B7" s="2" t="s">
        <v>419</v>
      </c>
      <c r="C7" s="3" t="n">
        <v>72</v>
      </c>
      <c r="D7" s="3" t="n">
        <v>80</v>
      </c>
      <c r="E7" s="4" t="n">
        <f>46289.5679868391 + (VLOOKUP($B$1,TimeZones!$A$1:$C$28,2,FALSE))/24</f>
        <v>46289.73465350579</v>
      </c>
      <c r="F7" s="4" t="n">
        <f>46289.5870950334 + (VLOOKUP($B$1,TimeZones!$A$1:$C$28,2,FALSE))/24</f>
        <v>46289.75376170001</v>
      </c>
      <c r="G7" s="2" t="s">
        <v>0</v>
      </c>
    </row>
    <row collapsed="false" customFormat="true" customHeight="false" hidden="false" outlineLevel="0" r="8">
      <c r="A8" s="2" t="s">
        <v>106</v>
      </c>
      <c r="B8" s="2" t="s">
        <v>342</v>
      </c>
      <c r="C8" s="3" t="n">
        <v>64</v>
      </c>
      <c r="D8" s="3" t="n">
        <v>80</v>
      </c>
      <c r="E8" s="4" t="n">
        <f>46289.6319196896 + (VLOOKUP($B$1,TimeZones!$A$1:$C$28,2,FALSE))/24</f>
        <v>46289.79858635621</v>
      </c>
      <c r="F8" s="4" t="n">
        <f>46289.6409584509 + (VLOOKUP($B$1,TimeZones!$A$1:$C$28,2,FALSE))/24</f>
        <v>46289.8076251176</v>
      </c>
      <c r="G8" s="2" t="s">
        <v>0</v>
      </c>
    </row>
    <row collapsed="false" customFormat="true" customHeight="false" hidden="false" outlineLevel="0" r="9">
      <c r="A9" s="2" t="s">
        <v>92</v>
      </c>
      <c r="B9" s="2" t="s">
        <v>280</v>
      </c>
      <c r="C9" s="3" t="n">
        <v>63</v>
      </c>
      <c r="D9" s="3" t="n">
        <v>80</v>
      </c>
      <c r="E9" s="4" t="n">
        <f>46289.7123456474 + (VLOOKUP($B$1,TimeZones!$A$1:$C$28,2,FALSE))/24</f>
        <v>46289.879012314035</v>
      </c>
      <c r="F9" s="4" t="n">
        <f>46289.7351930946 + (VLOOKUP($B$1,TimeZones!$A$1:$C$28,2,FALSE))/24</f>
        <v>46289.90185976132</v>
      </c>
      <c r="G9" s="2" t="s">
        <v>0</v>
      </c>
    </row>
    <row collapsed="false" customFormat="true" customHeight="false" hidden="false" outlineLevel="0" r="10">
      <c r="A10" s="2" t="s">
        <v>130</v>
      </c>
      <c r="B10" s="2" t="s">
        <v>300</v>
      </c>
      <c r="C10" s="3" t="n">
        <v>63</v>
      </c>
      <c r="D10" s="3" t="n">
        <v>80</v>
      </c>
      <c r="E10" s="4" t="n">
        <f>46289.5992431136 + (VLOOKUP($B$1,TimeZones!$A$1:$C$28,2,FALSE))/24</f>
        <v>46289.76590978026</v>
      </c>
      <c r="F10" s="4" t="n">
        <f>46289.6135619956 + (VLOOKUP($B$1,TimeZones!$A$1:$C$28,2,FALSE))/24</f>
        <v>46289.7802286623</v>
      </c>
      <c r="G10" s="2" t="s">
        <v>0</v>
      </c>
    </row>
    <row collapsed="false" customFormat="true" customHeight="false" hidden="false" outlineLevel="0" r="11">
      <c r="A11" s="2" t="s">
        <v>105</v>
      </c>
      <c r="B11" s="2" t="s">
        <v>269</v>
      </c>
      <c r="C11" s="3" t="n">
        <v>61</v>
      </c>
      <c r="D11" s="3" t="n">
        <v>80</v>
      </c>
      <c r="E11" s="4" t="n">
        <f>46289.6680940736 + (VLOOKUP($B$1,TimeZones!$A$1:$C$28,2,FALSE))/24</f>
        <v>46289.83476074029</v>
      </c>
      <c r="F11" s="4" t="n">
        <f>46289.6782844908 + (VLOOKUP($B$1,TimeZones!$A$1:$C$28,2,FALSE))/24</f>
        <v>46289.844951157465</v>
      </c>
      <c r="G11" s="2" t="s">
        <v>0</v>
      </c>
    </row>
    <row collapsed="false" customFormat="true" customHeight="false" hidden="false" outlineLevel="0" r="12">
      <c r="A12" s="2" t="s">
        <v>120</v>
      </c>
      <c r="B12" s="2" t="s">
        <v>422</v>
      </c>
      <c r="C12" s="3" t="n">
        <v>61</v>
      </c>
      <c r="D12" s="3" t="n">
        <v>80</v>
      </c>
      <c r="E12" s="4" t="n">
        <f>46289.6460758450 + (VLOOKUP($B$1,TimeZones!$A$1:$C$28,2,FALSE))/24</f>
        <v>46289.81274251163</v>
      </c>
      <c r="F12" s="4" t="n">
        <f>46289.6594820882 + (VLOOKUP($B$1,TimeZones!$A$1:$C$28,2,FALSE))/24</f>
        <v>46289.82614875482</v>
      </c>
      <c r="G12" s="2" t="s">
        <v>0</v>
      </c>
    </row>
    <row collapsed="false" customFormat="true" customHeight="false" hidden="false" outlineLevel="0" r="13">
      <c r="A13" s="2" t="s">
        <v>96</v>
      </c>
      <c r="B13" s="2" t="s">
        <v>266</v>
      </c>
      <c r="C13" s="3" t="n">
        <v>58</v>
      </c>
      <c r="D13" s="3" t="n">
        <v>80</v>
      </c>
      <c r="E13" s="4" t="n">
        <f>46289.4959891849 + (VLOOKUP($B$1,TimeZones!$A$1:$C$28,2,FALSE))/24</f>
        <v>46289.662655851585</v>
      </c>
      <c r="F13" s="4" t="n">
        <f>46289.5284715574 + (VLOOKUP($B$1,TimeZones!$A$1:$C$28,2,FALSE))/24</f>
        <v>46289.69513822408</v>
      </c>
      <c r="G13" s="2" t="s">
        <v>0</v>
      </c>
    </row>
    <row collapsed="false" customFormat="true" customHeight="false" hidden="false" outlineLevel="0" r="14">
      <c r="A14" s="2" t="s">
        <v>93</v>
      </c>
      <c r="B14" s="2" t="s">
        <v>366</v>
      </c>
      <c r="C14" s="3" t="n">
        <v>54</v>
      </c>
      <c r="D14" s="3" t="n">
        <v>80</v>
      </c>
      <c r="E14" s="4" t="n">
        <f>46289.5454280666 + (VLOOKUP($B$1,TimeZones!$A$1:$C$28,2,FALSE))/24</f>
        <v>46289.71209473325</v>
      </c>
      <c r="F14" s="4" t="n">
        <f>46289.5800938244 + (VLOOKUP($B$1,TimeZones!$A$1:$C$28,2,FALSE))/24</f>
        <v>46289.74676049104</v>
      </c>
      <c r="G14" s="2" t="s">
        <v>0</v>
      </c>
    </row>
    <row collapsed="false" customFormat="true" customHeight="false" hidden="false" outlineLevel="0" r="15">
      <c r="A15" s="2" t="s">
        <v>115</v>
      </c>
      <c r="B15" s="2" t="s">
        <v>225</v>
      </c>
      <c r="C15" s="3" t="n">
        <v>51</v>
      </c>
      <c r="D15" s="3" t="n">
        <v>80</v>
      </c>
      <c r="E15" s="4" t="n">
        <f>46289.4949019813 + (VLOOKUP($B$1,TimeZones!$A$1:$C$28,2,FALSE))/24</f>
        <v>46289.66156864796</v>
      </c>
      <c r="F15" s="4" t="n">
        <f>46289.5202441652 + (VLOOKUP($B$1,TimeZones!$A$1:$C$28,2,FALSE))/24</f>
        <v>46289.686910831864</v>
      </c>
      <c r="G15" s="2" t="s">
        <v>0</v>
      </c>
    </row>
    <row collapsed="false" customFormat="true" customHeight="false" hidden="false" outlineLevel="0" r="16">
      <c r="A16" s="2" t="s">
        <v>121</v>
      </c>
      <c r="B16" s="2" t="s">
        <v>228</v>
      </c>
      <c r="C16" s="3" t="n">
        <v>50</v>
      </c>
      <c r="D16" s="3" t="n">
        <v>80</v>
      </c>
      <c r="E16" s="4" t="n">
        <f>46289.6568103981 + (VLOOKUP($B$1,TimeZones!$A$1:$C$28,2,FALSE))/24</f>
        <v>46289.82347706473</v>
      </c>
      <c r="F16" s="4" t="n">
        <f>46289.6767304639 + (VLOOKUP($B$1,TimeZones!$A$1:$C$28,2,FALSE))/24</f>
        <v>46289.843397130586</v>
      </c>
      <c r="G16" s="2" t="s">
        <v>0</v>
      </c>
    </row>
    <row collapsed="false" customFormat="true" customHeight="false" hidden="false" outlineLevel="0" r="17">
      <c r="A17" s="2" t="s">
        <v>109</v>
      </c>
      <c r="B17" s="2" t="s">
        <v>336</v>
      </c>
      <c r="C17" s="3" t="n">
        <v>50</v>
      </c>
      <c r="D17" s="3" t="n">
        <v>80</v>
      </c>
      <c r="E17" s="4" t="n">
        <f>46289.6993197379 + (VLOOKUP($B$1,TimeZones!$A$1:$C$28,2,FALSE))/24</f>
        <v>46289.865986404526</v>
      </c>
      <c r="F17" s="4" t="n">
        <f>46289.7242627910 + (VLOOKUP($B$1,TimeZones!$A$1:$C$28,2,FALSE))/24</f>
        <v>46289.89092945772</v>
      </c>
      <c r="G17" s="2" t="s">
        <v>0</v>
      </c>
    </row>
    <row collapsed="false" customFormat="true" customHeight="false" hidden="false" outlineLevel="0" r="18">
      <c r="A18" s="2" t="s">
        <v>132</v>
      </c>
      <c r="B18" s="2" t="s">
        <v>216</v>
      </c>
      <c r="C18" s="3" t="n">
        <v>48</v>
      </c>
      <c r="D18" s="3" t="n">
        <v>80</v>
      </c>
      <c r="E18" s="4" t="n">
        <f>46289.6200679571 + (VLOOKUP($B$1,TimeZones!$A$1:$C$28,2,FALSE))/24</f>
        <v>46289.786734623805</v>
      </c>
      <c r="F18" s="4" t="n">
        <f>46289.6318724188 + (VLOOKUP($B$1,TimeZones!$A$1:$C$28,2,FALSE))/24</f>
        <v>46289.79853908551</v>
      </c>
      <c r="G18" s="2" t="s">
        <v>0</v>
      </c>
    </row>
    <row collapsed="false" customFormat="true" customHeight="false" hidden="false" outlineLevel="0" r="19">
      <c r="A19" s="2" t="s">
        <v>119</v>
      </c>
      <c r="B19" s="2" t="s">
        <v>408</v>
      </c>
      <c r="C19" s="3" t="n">
        <v>44</v>
      </c>
      <c r="D19" s="3" t="n">
        <v>80</v>
      </c>
      <c r="E19" s="4" t="n">
        <f>46289.5971246114 + (VLOOKUP($B$1,TimeZones!$A$1:$C$28,2,FALSE))/24</f>
        <v>46289.76379127804</v>
      </c>
      <c r="F19" s="4" t="n">
        <f>46289.6164923110 + (VLOOKUP($B$1,TimeZones!$A$1:$C$28,2,FALSE))/24</f>
        <v>46289.78315897764</v>
      </c>
      <c r="G19" s="2" t="s">
        <v>0</v>
      </c>
    </row>
    <row collapsed="false" customFormat="true" customHeight="false" hidden="false" outlineLevel="0" r="20">
      <c r="A20" s="2" t="s">
        <v>122</v>
      </c>
      <c r="B20" s="2" t="s">
        <v>287</v>
      </c>
      <c r="C20" s="3" t="n">
        <v>43</v>
      </c>
      <c r="D20" s="3" t="n">
        <v>80</v>
      </c>
      <c r="E20" s="4" t="n">
        <f>46289.6576800332 + (VLOOKUP($B$1,TimeZones!$A$1:$C$28,2,FALSE))/24</f>
        <v>46289.82434669989</v>
      </c>
      <c r="F20" s="4" t="n">
        <f>46289.6802461285 + (VLOOKUP($B$1,TimeZones!$A$1:$C$28,2,FALSE))/24</f>
        <v>46289.84691279518</v>
      </c>
      <c r="G20" s="2" t="s">
        <v>0</v>
      </c>
    </row>
    <row collapsed="false" customFormat="true" customHeight="false" hidden="false" outlineLevel="0" r="21">
      <c r="A21" s="2" t="s">
        <v>126</v>
      </c>
      <c r="B21" s="2" t="s">
        <v>375</v>
      </c>
      <c r="C21" s="3" t="n">
        <v>41</v>
      </c>
      <c r="D21" s="3" t="n">
        <v>80</v>
      </c>
      <c r="E21" s="4" t="n">
        <f>46289.5300211997 + (VLOOKUP($B$1,TimeZones!$A$1:$C$28,2,FALSE))/24</f>
        <v>46289.69668786635</v>
      </c>
      <c r="F21" s="4" t="n">
        <f>46289.5413758394 + (VLOOKUP($B$1,TimeZones!$A$1:$C$28,2,FALSE))/24</f>
        <v>46289.70804250611</v>
      </c>
      <c r="G21" s="2" t="s">
        <v>0</v>
      </c>
    </row>
    <row collapsed="false" customFormat="true" customHeight="false" hidden="false" outlineLevel="0" r="22">
      <c r="A22" s="2" t="s">
        <v>131</v>
      </c>
      <c r="B22" s="2" t="s">
        <v>417</v>
      </c>
      <c r="C22" s="3" t="n">
        <v>38</v>
      </c>
      <c r="D22" s="3" t="n">
        <v>80</v>
      </c>
      <c r="E22" s="4" t="n">
        <f>46289.6289808547 + (VLOOKUP($B$1,TimeZones!$A$1:$C$28,2,FALSE))/24</f>
        <v>46289.7956475214</v>
      </c>
      <c r="F22" s="4" t="n">
        <f>46289.6442031934 + (VLOOKUP($B$1,TimeZones!$A$1:$C$28,2,FALSE))/24</f>
        <v>46289.81086986007</v>
      </c>
      <c r="G22" s="2" t="s">
        <v>0</v>
      </c>
    </row>
    <row collapsed="false" customFormat="true" customHeight="false" hidden="false" outlineLevel="0" r="23">
      <c r="A23" s="2" t="s">
        <v>95</v>
      </c>
      <c r="B23" s="2" t="s">
        <v>388</v>
      </c>
      <c r="C23" s="3" t="n">
        <v>37</v>
      </c>
      <c r="D23" s="3" t="n">
        <v>80</v>
      </c>
      <c r="E23" s="4" t="n">
        <f>46289.6460302318 + (VLOOKUP($B$1,TimeZones!$A$1:$C$28,2,FALSE))/24</f>
        <v>46289.812696898494</v>
      </c>
      <c r="F23" s="4" t="n">
        <f>46289.6545303451 + (VLOOKUP($B$1,TimeZones!$A$1:$C$28,2,FALSE))/24</f>
        <v>46289.82119701178</v>
      </c>
      <c r="G23" s="2" t="s">
        <v>0</v>
      </c>
    </row>
    <row collapsed="false" customFormat="true" customHeight="false" hidden="false" outlineLevel="0" r="24">
      <c r="A24" s="2" t="s">
        <v>133</v>
      </c>
      <c r="B24" s="2" t="s">
        <v>260</v>
      </c>
      <c r="C24" s="3" t="n">
        <v>36</v>
      </c>
      <c r="D24" s="3" t="n">
        <v>80</v>
      </c>
      <c r="E24" s="4" t="n">
        <f>46289.6629146544 + (VLOOKUP($B$1,TimeZones!$A$1:$C$28,2,FALSE))/24</f>
        <v>46289.82958132103</v>
      </c>
      <c r="F24" s="4" t="n">
        <f>46289.6832664725 + (VLOOKUP($B$1,TimeZones!$A$1:$C$28,2,FALSE))/24</f>
        <v>46289.84993313919</v>
      </c>
      <c r="G24" s="2" t="s">
        <v>0</v>
      </c>
    </row>
    <row collapsed="false" customFormat="true" customHeight="false" hidden="false" outlineLevel="0" r="25">
      <c r="A25" s="2" t="s">
        <v>99</v>
      </c>
      <c r="B25" s="2" t="s">
        <v>196</v>
      </c>
      <c r="C25" s="3" t="n">
        <v>34</v>
      </c>
      <c r="D25" s="3" t="n">
        <v>80</v>
      </c>
      <c r="E25" s="4" t="n">
        <f>46289.6932109911 + (VLOOKUP($B$1,TimeZones!$A$1:$C$28,2,FALSE))/24</f>
        <v>46289.859877657786</v>
      </c>
      <c r="F25" s="4" t="n">
        <f>46289.6981010170 + (VLOOKUP($B$1,TimeZones!$A$1:$C$28,2,FALSE))/24</f>
        <v>46289.86476768369</v>
      </c>
      <c r="G25" s="2" t="s">
        <v>0</v>
      </c>
    </row>
    <row collapsed="false" customFormat="true" customHeight="false" hidden="false" outlineLevel="0" r="26">
      <c r="A26" s="2" t="s">
        <v>94</v>
      </c>
      <c r="B26" s="2" t="s">
        <v>240</v>
      </c>
      <c r="C26" s="3" t="n">
        <v>32</v>
      </c>
      <c r="D26" s="3" t="n">
        <v>80</v>
      </c>
      <c r="E26" s="4" t="n">
        <f>46289.7195790515 + (VLOOKUP($B$1,TimeZones!$A$1:$C$28,2,FALSE))/24</f>
        <v>46289.886245718124</v>
      </c>
      <c r="F26" s="4" t="n">
        <f>46289.7461778927 + (VLOOKUP($B$1,TimeZones!$A$1:$C$28,2,FALSE))/24</f>
        <v>46289.91284455936</v>
      </c>
      <c r="G26" s="2" t="s">
        <v>0</v>
      </c>
    </row>
    <row collapsed="false" customFormat="true" customHeight="false" hidden="false" outlineLevel="0" r="27">
      <c r="A27" s="2" t="s">
        <v>98</v>
      </c>
      <c r="B27" s="2" t="s">
        <v>272</v>
      </c>
      <c r="C27" s="3" t="n">
        <v>32</v>
      </c>
      <c r="D27" s="3" t="n">
        <v>80</v>
      </c>
      <c r="E27" s="4" t="n">
        <f>46289.6702996959 + (VLOOKUP($B$1,TimeZones!$A$1:$C$28,2,FALSE))/24</f>
        <v>46289.83696636256</v>
      </c>
      <c r="F27" s="4" t="n">
        <f>46289.6793576352 + (VLOOKUP($B$1,TimeZones!$A$1:$C$28,2,FALSE))/24</f>
        <v>46289.84602430181</v>
      </c>
      <c r="G27" s="2" t="s">
        <v>0</v>
      </c>
    </row>
    <row collapsed="false" customFormat="true" customHeight="false" hidden="false" outlineLevel="0" r="28">
      <c r="A28" s="2" t="s">
        <v>118</v>
      </c>
      <c r="B28" s="2" t="s">
        <v>373</v>
      </c>
      <c r="C28" s="3" t="n">
        <v>31</v>
      </c>
      <c r="D28" s="3" t="n">
        <v>80</v>
      </c>
      <c r="E28" s="4" t="n">
        <f>46289.6573159021 + (VLOOKUP($B$1,TimeZones!$A$1:$C$28,2,FALSE))/24</f>
        <v>46289.82398256881</v>
      </c>
      <c r="F28" s="4" t="n">
        <f>46289.6656154998 + (VLOOKUP($B$1,TimeZones!$A$1:$C$28,2,FALSE))/24</f>
        <v>46289.83228216651</v>
      </c>
      <c r="G28" s="2" t="s">
        <v>0</v>
      </c>
    </row>
    <row collapsed="false" customFormat="true" customHeight="false" hidden="false" outlineLevel="0" r="29">
      <c r="A29" s="2" t="s">
        <v>127</v>
      </c>
      <c r="B29" s="2" t="s">
        <v>348</v>
      </c>
      <c r="C29" s="3" t="n">
        <v>29</v>
      </c>
      <c r="D29" s="3" t="n">
        <v>80</v>
      </c>
      <c r="E29" s="4" t="n">
        <f>46289.4905296825 + (VLOOKUP($B$1,TimeZones!$A$1:$C$28,2,FALSE))/24</f>
        <v>46289.65719634919</v>
      </c>
      <c r="F29" s="4" t="n">
        <f>46289.5119799415 + (VLOOKUP($B$1,TimeZones!$A$1:$C$28,2,FALSE))/24</f>
        <v>46289.678646608125</v>
      </c>
      <c r="G29" s="2" t="s">
        <v>0</v>
      </c>
    </row>
    <row collapsed="false" customFormat="true" customHeight="false" hidden="false" outlineLevel="0" r="30">
      <c r="A30" s="2" t="s">
        <v>116</v>
      </c>
      <c r="B30" s="2" t="s">
        <v>335</v>
      </c>
      <c r="C30" s="3" t="n">
        <v>24</v>
      </c>
      <c r="D30" s="3" t="n">
        <v>80</v>
      </c>
      <c r="E30" s="4" t="n">
        <f>46289.7027104731 + (VLOOKUP($B$1,TimeZones!$A$1:$C$28,2,FALSE))/24</f>
        <v>46289.86937713978</v>
      </c>
      <c r="F30" s="4" t="n">
        <f>46289.7081635224 + (VLOOKUP($B$1,TimeZones!$A$1:$C$28,2,FALSE))/24</f>
        <v>46289.87483018906</v>
      </c>
      <c r="G30" s="2" t="s">
        <v>0</v>
      </c>
    </row>
    <row collapsed="false" customFormat="true" customHeight="false" hidden="false" outlineLevel="0" r="31">
      <c r="A31" s="2" t="s">
        <v>123</v>
      </c>
      <c r="B31" s="2" t="s">
        <v>277</v>
      </c>
      <c r="C31" s="3" t="n">
        <v>22</v>
      </c>
      <c r="D31" s="3" t="n">
        <v>80</v>
      </c>
      <c r="E31" s="4" t="n">
        <f>46289.6386151862 + (VLOOKUP($B$1,TimeZones!$A$1:$C$28,2,FALSE))/24</f>
        <v>46289.80528185292</v>
      </c>
      <c r="F31" s="4" t="n">
        <f>46289.6552798082 + (VLOOKUP($B$1,TimeZones!$A$1:$C$28,2,FALSE))/24</f>
        <v>46289.82194647483</v>
      </c>
      <c r="G31" s="2" t="s">
        <v>0</v>
      </c>
    </row>
    <row collapsed="false" customFormat="true" customHeight="false" hidden="false" outlineLevel="0" r="32">
      <c r="A32" s="2" t="s">
        <v>108</v>
      </c>
      <c r="B32" s="2" t="s">
        <v>303</v>
      </c>
      <c r="C32" s="3" t="n">
        <v>21</v>
      </c>
      <c r="D32" s="3" t="n">
        <v>80</v>
      </c>
      <c r="E32" s="4" t="n">
        <f>46289.7266845478 + (VLOOKUP($B$1,TimeZones!$A$1:$C$28,2,FALSE))/24</f>
        <v>46289.893351214465</v>
      </c>
      <c r="F32" s="4" t="n">
        <f>46289.7373008012 + (VLOOKUP($B$1,TimeZones!$A$1:$C$28,2,FALSE))/24</f>
        <v>46289.9039674679</v>
      </c>
      <c r="G32" s="2" t="s">
        <v>0</v>
      </c>
    </row>
    <row collapsed="false" customFormat="true" customHeight="false" hidden="false" outlineLevel="0" r="33">
      <c r="A33" s="2" t="s">
        <v>97</v>
      </c>
      <c r="B33" s="2" t="s">
        <v>351</v>
      </c>
      <c r="C33" s="3" t="n">
        <v>21</v>
      </c>
      <c r="D33" s="3" t="n">
        <v>80</v>
      </c>
      <c r="E33" s="4" t="n">
        <f>46289.6807264614 + (VLOOKUP($B$1,TimeZones!$A$1:$C$28,2,FALSE))/24</f>
        <v>46289.8473931281</v>
      </c>
      <c r="F33" s="4" t="n">
        <f>46289.7029842308 + (VLOOKUP($B$1,TimeZones!$A$1:$C$28,2,FALSE))/24</f>
        <v>46289.869650897475</v>
      </c>
      <c r="G33" s="2" t="s">
        <v>0</v>
      </c>
    </row>
    <row collapsed="false" customFormat="true" customHeight="false" hidden="false" outlineLevel="0" r="34">
      <c r="A34" s="2" t="s">
        <v>110</v>
      </c>
      <c r="B34" s="2" t="s">
        <v>212</v>
      </c>
      <c r="C34" s="3" t="n">
        <v>20</v>
      </c>
      <c r="D34" s="3" t="n">
        <v>80</v>
      </c>
      <c r="E34" s="4" t="n">
        <f>46289.6036090335 + (VLOOKUP($B$1,TimeZones!$A$1:$C$28,2,FALSE))/24</f>
        <v>46289.770275700204</v>
      </c>
      <c r="F34" s="4" t="n">
        <f>46289.6154603656 + (VLOOKUP($B$1,TimeZones!$A$1:$C$28,2,FALSE))/24</f>
        <v>46289.782127032246</v>
      </c>
      <c r="G34" s="2" t="s">
        <v>0</v>
      </c>
    </row>
    <row collapsed="false" customFormat="true" customHeight="false" hidden="false" outlineLevel="0" r="35">
      <c r="A35" s="2" t="s">
        <v>124</v>
      </c>
      <c r="B35" s="2" t="s">
        <v>223</v>
      </c>
      <c r="C35" s="3" t="n">
        <v>20</v>
      </c>
      <c r="D35" s="3" t="n">
        <v>80</v>
      </c>
      <c r="E35" s="4" t="n">
        <f>46289.6594853521 + (VLOOKUP($B$1,TimeZones!$A$1:$C$28,2,FALSE))/24</f>
        <v>46289.826152018795</v>
      </c>
      <c r="F35" s="4" t="n">
        <f>46289.6643329568 + (VLOOKUP($B$1,TimeZones!$A$1:$C$28,2,FALSE))/24</f>
        <v>46289.830999623424</v>
      </c>
      <c r="G35" s="2" t="s">
        <v>0</v>
      </c>
    </row>
    <row collapsed="false" customFormat="true" customHeight="false" hidden="false" outlineLevel="0" r="36">
      <c r="A36" s="2" t="s">
        <v>112</v>
      </c>
      <c r="B36" s="2" t="s">
        <v>297</v>
      </c>
      <c r="C36" s="3" t="n">
        <v>20</v>
      </c>
      <c r="D36" s="3" t="n">
        <v>80</v>
      </c>
      <c r="E36" s="4" t="n">
        <f>46289.6344535254 + (VLOOKUP($B$1,TimeZones!$A$1:$C$28,2,FALSE))/24</f>
        <v>46289.8011201921</v>
      </c>
      <c r="F36" s="4" t="n">
        <f>46289.6550078181 + (VLOOKUP($B$1,TimeZones!$A$1:$C$28,2,FALSE))/24</f>
        <v>46289.821674484774</v>
      </c>
      <c r="G36" s="2" t="s">
        <v>0</v>
      </c>
    </row>
    <row collapsed="false" customFormat="true" customHeight="false" hidden="false" outlineLevel="0" r="37">
      <c r="A37" s="2" t="s">
        <v>129</v>
      </c>
      <c r="B37" s="2" t="s">
        <v>331</v>
      </c>
      <c r="C37" s="3" t="n">
        <v>20</v>
      </c>
      <c r="D37" s="3" t="n">
        <v>80</v>
      </c>
      <c r="E37" s="4" t="n">
        <f>46289.6511965499 + (VLOOKUP($B$1,TimeZones!$A$1:$C$28,2,FALSE))/24</f>
        <v>46289.817863216536</v>
      </c>
      <c r="F37" s="4" t="n">
        <f>46289.6612808339 + (VLOOKUP($B$1,TimeZones!$A$1:$C$28,2,FALSE))/24</f>
        <v>46289.82794750059</v>
      </c>
      <c r="G37" s="2" t="s">
        <v>0</v>
      </c>
    </row>
    <row collapsed="false" customFormat="true" customHeight="false" hidden="false" outlineLevel="0" r="38">
      <c r="A38" s="2" t="s">
        <v>113</v>
      </c>
      <c r="B38" s="2" t="s">
        <v>332</v>
      </c>
      <c r="C38" s="3" t="n">
        <v>20</v>
      </c>
      <c r="D38" s="3" t="n">
        <v>80</v>
      </c>
      <c r="E38" s="4" t="n">
        <f>46289.6497553961 + (VLOOKUP($B$1,TimeZones!$A$1:$C$28,2,FALSE))/24</f>
        <v>46289.816422062766</v>
      </c>
      <c r="F38" s="4" t="n">
        <f>46289.6508266929 + (VLOOKUP($B$1,TimeZones!$A$1:$C$28,2,FALSE))/24</f>
        <v>46289.81749335952</v>
      </c>
      <c r="G38" s="2" t="s">
        <v>0</v>
      </c>
    </row>
    <row collapsed="false" customFormat="true" customHeight="false" hidden="false" outlineLevel="0" r="39">
      <c r="A39" s="2" t="s">
        <v>103</v>
      </c>
      <c r="B39" s="2" t="s">
        <v>191</v>
      </c>
      <c r="C39" s="3" t="n">
        <v>18</v>
      </c>
      <c r="D39" s="3" t="n">
        <v>80</v>
      </c>
      <c r="E39" s="4" t="n">
        <f>46289.6305131515 + (VLOOKUP($B$1,TimeZones!$A$1:$C$28,2,FALSE))/24</f>
        <v>46289.79717981817</v>
      </c>
      <c r="F39" s="4" t="n">
        <f>46289.6355249480 + (VLOOKUP($B$1,TimeZones!$A$1:$C$28,2,FALSE))/24</f>
        <v>46289.80219161468</v>
      </c>
      <c r="G39" s="2" t="s">
        <v>0</v>
      </c>
    </row>
    <row collapsed="false" customFormat="true" customHeight="false" hidden="false" outlineLevel="0" r="40">
      <c r="A40" s="2" t="s">
        <v>104</v>
      </c>
      <c r="B40" s="2" t="s">
        <v>201</v>
      </c>
      <c r="C40" s="3" t="n">
        <v>16</v>
      </c>
      <c r="D40" s="3" t="n">
        <v>80</v>
      </c>
      <c r="E40" s="4" t="n">
        <f>46289.5108674894 + (VLOOKUP($B$1,TimeZones!$A$1:$C$28,2,FALSE))/24</f>
        <v>46289.6775341561</v>
      </c>
      <c r="F40" s="4" t="n">
        <f>46289.5137774800 + (VLOOKUP($B$1,TimeZones!$A$1:$C$28,2,FALSE))/24</f>
        <v>46289.68044414667</v>
      </c>
      <c r="G40" s="2" t="s">
        <v>0</v>
      </c>
    </row>
    <row collapsed="false" customFormat="true" customHeight="false" hidden="false" outlineLevel="0" r="41">
      <c r="A41" s="2" t="s">
        <v>102</v>
      </c>
      <c r="B41" s="2" t="s">
        <v>326</v>
      </c>
      <c r="C41" s="3" t="n">
        <v>16</v>
      </c>
      <c r="D41" s="3" t="n">
        <v>80</v>
      </c>
      <c r="E41" s="4" t="n">
        <f>46289.5272038535 + (VLOOKUP($B$1,TimeZones!$A$1:$C$28,2,FALSE))/24</f>
        <v>46289.69387052016</v>
      </c>
      <c r="F41" s="4" t="n">
        <f>46289.5688705202 + (VLOOKUP($B$1,TimeZones!$A$1:$C$28,2,FALSE))/24</f>
        <v>46289.735537186825</v>
      </c>
      <c r="G41" s="2" t="s">
        <v>0</v>
      </c>
    </row>
    <row collapsed="false" customFormat="true" customHeight="false" hidden="false" outlineLevel="0" r="42">
      <c r="A42" s="2" t="s">
        <v>117</v>
      </c>
      <c r="B42" s="2" t="s">
        <v>195</v>
      </c>
      <c r="C42" s="3" t="n">
        <v>14</v>
      </c>
      <c r="D42" s="3" t="n">
        <v>80</v>
      </c>
      <c r="E42" s="4" t="n">
        <f>46289.5261652548 + (VLOOKUP($B$1,TimeZones!$A$1:$C$28,2,FALSE))/24</f>
        <v>46289.692831921515</v>
      </c>
      <c r="F42" s="4" t="n">
        <f>46289.5312362780 + (VLOOKUP($B$1,TimeZones!$A$1:$C$28,2,FALSE))/24</f>
        <v>46289.69790294471</v>
      </c>
      <c r="G42" s="2" t="s">
        <v>0</v>
      </c>
    </row>
    <row collapsed="false" customFormat="true" customHeight="false" hidden="false" outlineLevel="0" r="43">
      <c r="A43" s="2" t="s">
        <v>111</v>
      </c>
      <c r="B43" s="2" t="s">
        <v>249</v>
      </c>
      <c r="C43" s="3" t="n">
        <v>13</v>
      </c>
      <c r="D43" s="3" t="n">
        <v>80</v>
      </c>
      <c r="E43" s="4" t="n">
        <f>46289.6755664053 + (VLOOKUP($B$1,TimeZones!$A$1:$C$28,2,FALSE))/24</f>
        <v>46289.84223307192</v>
      </c>
      <c r="F43" s="4" t="n">
        <f>46289.6774760882 + (VLOOKUP($B$1,TimeZones!$A$1:$C$28,2,FALSE))/24</f>
        <v>46289.8441427549</v>
      </c>
      <c r="G43" s="2" t="s">
        <v>0</v>
      </c>
    </row>
    <row collapsed="false" customFormat="true" customHeight="false" hidden="false" outlineLevel="0" r="44">
      <c r="A44" s="2" t="s">
        <v>128</v>
      </c>
      <c r="B44" s="2" t="s">
        <v>346</v>
      </c>
      <c r="C44" s="3" t="n">
        <v>6</v>
      </c>
      <c r="D44" s="3" t="n">
        <v>80</v>
      </c>
      <c r="E44" s="4" t="n">
        <f>46289.5413225708 + (VLOOKUP($B$1,TimeZones!$A$1:$C$28,2,FALSE))/24</f>
        <v>46289.70798923742</v>
      </c>
      <c r="F44" s="4" t="n">
        <f>46289.5829892374 + (VLOOKUP($B$1,TimeZones!$A$1:$C$28,2,FALSE))/24</f>
        <v>46289.74965590408</v>
      </c>
      <c r="G44" s="2" t="s">
        <v>0</v>
      </c>
    </row>
    <row collapsed="false" customFormat="true" customHeight="false" hidden="false" outlineLevel="0" r="45">
      <c r="A45" s="2" t="s">
        <v>101</v>
      </c>
      <c r="B45" s="2" t="s">
        <v>301</v>
      </c>
      <c r="C45" s="3" t="n">
        <v>5</v>
      </c>
      <c r="D45" s="3" t="n">
        <v>80</v>
      </c>
      <c r="E45" s="4" t="n">
        <f>46289.6631254456 + (VLOOKUP($B$1,TimeZones!$A$1:$C$28,2,FALSE))/24</f>
        <v>46289.82979211228</v>
      </c>
      <c r="F45" s="4" t="n">
        <f>46289.7047921123 + (VLOOKUP($B$1,TimeZones!$A$1:$C$28,2,FALSE))/24</f>
        <v>46289.87145877894</v>
      </c>
      <c r="G45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404</v>
      </c>
      <c r="B1" s="2" t="s">
        <v>189</v>
      </c>
    </row>
    <row collapsed="false" customFormat="true" customHeight="false" hidden="false" outlineLevel="0" r="3">
      <c r="A3" s="1" t="s">
        <v>279</v>
      </c>
      <c r="B3" s="1" t="s">
        <v>395</v>
      </c>
      <c r="C3" s="1" t="s">
        <v>315</v>
      </c>
      <c r="D3" s="1" t="s">
        <v>298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369</v>
      </c>
      <c r="H3" s="1" t="s">
        <v>227</v>
      </c>
    </row>
    <row collapsed="false" customFormat="true" customHeight="false" hidden="false" outlineLevel="0" r="4">
      <c r="A4" s="2" t="s">
        <v>158</v>
      </c>
      <c r="B4" s="2" t="s">
        <v>401</v>
      </c>
      <c r="C4" s="3" t="n">
        <v>88</v>
      </c>
      <c r="D4" s="3" t="n">
        <v>100</v>
      </c>
      <c r="E4" s="4" t="n">
        <f>46289.5156473290 + (VLOOKUP($B$1,TimeZones!$A$1:$C$28,2,FALSE))/24</f>
        <v>46289.68231399568</v>
      </c>
      <c r="F4" s="4" t="n">
        <f>46289.5541265171 + (VLOOKUP($B$1,TimeZones!$A$1:$C$28,2,FALSE))/24</f>
        <v>46289.720793183784</v>
      </c>
      <c r="G4" s="2" t="s">
        <v>0</v>
      </c>
    </row>
    <row collapsed="false" customFormat="true" customHeight="false" hidden="false" outlineLevel="0" r="5">
      <c r="A5" s="2" t="s">
        <v>154</v>
      </c>
      <c r="B5" s="2" t="s">
        <v>394</v>
      </c>
      <c r="C5" s="3" t="n">
        <v>87</v>
      </c>
      <c r="D5" s="3" t="n">
        <v>100</v>
      </c>
      <c r="E5" s="4" t="n">
        <f>46289.6064616968 + (VLOOKUP($B$1,TimeZones!$A$1:$C$28,2,FALSE))/24</f>
        <v>46289.77312836346</v>
      </c>
      <c r="F5" s="4" t="n">
        <f>46289.6352434644 + (VLOOKUP($B$1,TimeZones!$A$1:$C$28,2,FALSE))/24</f>
        <v>46289.80191013103</v>
      </c>
      <c r="G5" s="2" t="s">
        <v>0</v>
      </c>
    </row>
    <row collapsed="false" customFormat="true" customHeight="false" hidden="false" outlineLevel="0" r="6">
      <c r="A6" s="2" t="s">
        <v>139</v>
      </c>
      <c r="B6" s="2" t="s">
        <v>241</v>
      </c>
      <c r="C6" s="3" t="n">
        <v>75</v>
      </c>
      <c r="D6" s="3" t="n">
        <v>100</v>
      </c>
      <c r="E6" s="4" t="n">
        <f>46289.6909587468 + (VLOOKUP($B$1,TimeZones!$A$1:$C$28,2,FALSE))/24</f>
        <v>46289.85762541347</v>
      </c>
      <c r="F6" s="4" t="n">
        <f>46289.7316058350 + (VLOOKUP($B$1,TimeZones!$A$1:$C$28,2,FALSE))/24</f>
        <v>46289.898272501676</v>
      </c>
      <c r="G6" s="2" t="s">
        <v>0</v>
      </c>
    </row>
    <row collapsed="false" customFormat="true" customHeight="false" hidden="false" outlineLevel="0" r="7">
      <c r="A7" s="2" t="s">
        <v>137</v>
      </c>
      <c r="B7" s="2" t="s">
        <v>250</v>
      </c>
      <c r="C7" s="3" t="n">
        <v>73</v>
      </c>
      <c r="D7" s="3" t="n">
        <v>100</v>
      </c>
      <c r="E7" s="4" t="n">
        <f>46289.6843773519 + (VLOOKUP($B$1,TimeZones!$A$1:$C$28,2,FALSE))/24</f>
        <v>46289.85104401857</v>
      </c>
      <c r="F7" s="4" t="n">
        <f>46289.7029072931 + (VLOOKUP($B$1,TimeZones!$A$1:$C$28,2,FALSE))/24</f>
        <v>46289.86957395977</v>
      </c>
      <c r="G7" s="2" t="s">
        <v>0</v>
      </c>
    </row>
    <row collapsed="false" customFormat="true" customHeight="false" hidden="false" outlineLevel="0" r="8">
      <c r="A8" s="2" t="s">
        <v>165</v>
      </c>
      <c r="B8" s="2" t="s">
        <v>317</v>
      </c>
      <c r="C8" s="3" t="n">
        <v>73</v>
      </c>
      <c r="D8" s="3" t="n">
        <v>100</v>
      </c>
      <c r="E8" s="4" t="n">
        <f>46289.7155981006 + (VLOOKUP($B$1,TimeZones!$A$1:$C$28,2,FALSE))/24</f>
        <v>46289.882264767286</v>
      </c>
      <c r="F8" s="4" t="n">
        <f>46289.7469049516 + (VLOOKUP($B$1,TimeZones!$A$1:$C$28,2,FALSE))/24</f>
        <v>46289.913571618235</v>
      </c>
      <c r="G8" s="2" t="s">
        <v>0</v>
      </c>
    </row>
    <row collapsed="false" customFormat="true" customHeight="false" hidden="false" outlineLevel="0" r="9">
      <c r="A9" s="2" t="s">
        <v>157</v>
      </c>
      <c r="B9" s="2" t="s">
        <v>320</v>
      </c>
      <c r="C9" s="3" t="n">
        <v>65</v>
      </c>
      <c r="D9" s="3" t="n">
        <v>100</v>
      </c>
      <c r="E9" s="4" t="n">
        <f>46289.6999092073 + (VLOOKUP($B$1,TimeZones!$A$1:$C$28,2,FALSE))/24</f>
        <v>46289.86657587392</v>
      </c>
      <c r="F9" s="4" t="n">
        <f>46289.7186604289 + (VLOOKUP($B$1,TimeZones!$A$1:$C$28,2,FALSE))/24</f>
        <v>46289.885327095544</v>
      </c>
      <c r="G9" s="2" t="s">
        <v>0</v>
      </c>
    </row>
    <row collapsed="false" customFormat="true" customHeight="false" hidden="false" outlineLevel="0" r="10">
      <c r="A10" s="2" t="s">
        <v>142</v>
      </c>
      <c r="B10" s="2" t="s">
        <v>246</v>
      </c>
      <c r="C10" s="3" t="n">
        <v>64</v>
      </c>
      <c r="D10" s="3" t="n">
        <v>100</v>
      </c>
      <c r="E10" s="4" t="n">
        <f>46289.5359660052 + (VLOOKUP($B$1,TimeZones!$A$1:$C$28,2,FALSE))/24</f>
        <v>46289.702632671884</v>
      </c>
      <c r="F10" s="4" t="n">
        <f>46289.5489139587 + (VLOOKUP($B$1,TimeZones!$A$1:$C$28,2,FALSE))/24</f>
        <v>46289.715580625365</v>
      </c>
      <c r="G10" s="2" t="s">
        <v>0</v>
      </c>
    </row>
    <row collapsed="false" customFormat="true" customHeight="false" hidden="false" outlineLevel="0" r="11">
      <c r="A11" s="2" t="s">
        <v>141</v>
      </c>
      <c r="B11" s="2" t="s">
        <v>421</v>
      </c>
      <c r="C11" s="3" t="n">
        <v>62</v>
      </c>
      <c r="D11" s="3" t="n">
        <v>100</v>
      </c>
      <c r="E11" s="4" t="n">
        <f>46289.5417500685 + (VLOOKUP($B$1,TimeZones!$A$1:$C$28,2,FALSE))/24</f>
        <v>46289.708416735135</v>
      </c>
      <c r="F11" s="4" t="n">
        <f>46289.5554754997 + (VLOOKUP($B$1,TimeZones!$A$1:$C$28,2,FALSE))/24</f>
        <v>46289.72214216636</v>
      </c>
      <c r="G11" s="2" t="s">
        <v>0</v>
      </c>
    </row>
    <row collapsed="false" customFormat="true" customHeight="false" hidden="false" outlineLevel="0" r="12">
      <c r="A12" s="2" t="s">
        <v>147</v>
      </c>
      <c r="B12" s="2" t="s">
        <v>187</v>
      </c>
      <c r="C12" s="3" t="n">
        <v>61</v>
      </c>
      <c r="D12" s="3" t="n">
        <v>100</v>
      </c>
      <c r="E12" s="4" t="n">
        <f>46289.6900582067 + (VLOOKUP($B$1,TimeZones!$A$1:$C$28,2,FALSE))/24</f>
        <v>46289.85672487333</v>
      </c>
      <c r="F12" s="4" t="n">
        <f>46289.6996937931 + (VLOOKUP($B$1,TimeZones!$A$1:$C$28,2,FALSE))/24</f>
        <v>46289.866360459804</v>
      </c>
      <c r="G12" s="2" t="s">
        <v>0</v>
      </c>
    </row>
    <row collapsed="false" customFormat="true" customHeight="false" hidden="false" outlineLevel="0" r="13">
      <c r="A13" s="2" t="s">
        <v>145</v>
      </c>
      <c r="B13" s="2" t="s">
        <v>310</v>
      </c>
      <c r="C13" s="3" t="n">
        <v>60</v>
      </c>
      <c r="D13" s="3" t="n">
        <v>100</v>
      </c>
      <c r="E13" s="4" t="n">
        <f>46289.5765339696 + (VLOOKUP($B$1,TimeZones!$A$1:$C$28,2,FALSE))/24</f>
        <v>46289.74320063622</v>
      </c>
      <c r="F13" s="4" t="n">
        <f>46289.5887918778 + (VLOOKUP($B$1,TimeZones!$A$1:$C$28,2,FALSE))/24</f>
        <v>46289.75545854449</v>
      </c>
      <c r="G13" s="2" t="s">
        <v>0</v>
      </c>
    </row>
    <row collapsed="false" customFormat="true" customHeight="false" hidden="false" outlineLevel="0" r="14">
      <c r="A14" s="2" t="s">
        <v>159</v>
      </c>
      <c r="B14" s="2" t="s">
        <v>384</v>
      </c>
      <c r="C14" s="3" t="n">
        <v>59</v>
      </c>
      <c r="D14" s="3" t="n">
        <v>100</v>
      </c>
      <c r="E14" s="4" t="n">
        <f>46289.5243079896 + (VLOOKUP($B$1,TimeZones!$A$1:$C$28,2,FALSE))/24</f>
        <v>46289.69097465626</v>
      </c>
      <c r="F14" s="4" t="n">
        <f>46289.5414109194 + (VLOOKUP($B$1,TimeZones!$A$1:$C$28,2,FALSE))/24</f>
        <v>46289.70807758606</v>
      </c>
      <c r="G14" s="2" t="s">
        <v>0</v>
      </c>
    </row>
    <row collapsed="false" customFormat="true" customHeight="false" hidden="false" outlineLevel="0" r="15">
      <c r="A15" s="2" t="s">
        <v>155</v>
      </c>
      <c r="B15" s="2" t="s">
        <v>410</v>
      </c>
      <c r="C15" s="3" t="n">
        <v>59</v>
      </c>
      <c r="D15" s="3" t="n">
        <v>100</v>
      </c>
      <c r="E15" s="4" t="n">
        <f>46289.5204963013 + (VLOOKUP($B$1,TimeZones!$A$1:$C$28,2,FALSE))/24</f>
        <v>46289.68716296797</v>
      </c>
      <c r="F15" s="4" t="n">
        <f>46289.5337030816 + (VLOOKUP($B$1,TimeZones!$A$1:$C$28,2,FALSE))/24</f>
        <v>46289.700369748316</v>
      </c>
      <c r="G15" s="2" t="s">
        <v>0</v>
      </c>
    </row>
    <row collapsed="false" customFormat="true" customHeight="false" hidden="false" outlineLevel="0" r="16">
      <c r="A16" s="2" t="s">
        <v>167</v>
      </c>
      <c r="B16" s="2" t="s">
        <v>286</v>
      </c>
      <c r="C16" s="3" t="n">
        <v>56</v>
      </c>
      <c r="D16" s="3" t="n">
        <v>100</v>
      </c>
      <c r="E16" s="4" t="n">
        <f>46289.7306977604 + (VLOOKUP($B$1,TimeZones!$A$1:$C$28,2,FALSE))/24</f>
        <v>46289.897364427045</v>
      </c>
      <c r="F16" s="4" t="n">
        <f>46289.7497925053 + (VLOOKUP($B$1,TimeZones!$A$1:$C$28,2,FALSE))/24</f>
        <v>46289.91645917199</v>
      </c>
      <c r="G16" s="2" t="s">
        <v>0</v>
      </c>
    </row>
    <row collapsed="false" customFormat="true" customHeight="false" hidden="false" outlineLevel="0" r="17">
      <c r="A17" s="2" t="s">
        <v>148</v>
      </c>
      <c r="B17" s="2" t="s">
        <v>423</v>
      </c>
      <c r="C17" s="3" t="n">
        <v>54</v>
      </c>
      <c r="D17" s="3" t="n">
        <v>100</v>
      </c>
      <c r="E17" s="4" t="n">
        <f>46289.5203786032 + (VLOOKUP($B$1,TimeZones!$A$1:$C$28,2,FALSE))/24</f>
        <v>46289.68704526987</v>
      </c>
      <c r="F17" s="4" t="n">
        <f>46289.5336270414 + (VLOOKUP($B$1,TimeZones!$A$1:$C$28,2,FALSE))/24</f>
        <v>46289.70029370811</v>
      </c>
      <c r="G17" s="2" t="s">
        <v>0</v>
      </c>
    </row>
    <row collapsed="false" customFormat="true" customHeight="false" hidden="false" outlineLevel="0" r="18">
      <c r="A18" s="2" t="s">
        <v>151</v>
      </c>
      <c r="B18" s="2" t="s">
        <v>229</v>
      </c>
      <c r="C18" s="3" t="n">
        <v>53</v>
      </c>
      <c r="D18" s="3" t="n">
        <v>100</v>
      </c>
      <c r="E18" s="4" t="n">
        <f>46289.6713406893 + (VLOOKUP($B$1,TimeZones!$A$1:$C$28,2,FALSE))/24</f>
        <v>46289.83800735594</v>
      </c>
      <c r="F18" s="4" t="n">
        <f>46289.6988147914 + (VLOOKUP($B$1,TimeZones!$A$1:$C$28,2,FALSE))/24</f>
        <v>46289.86548145807</v>
      </c>
      <c r="G18" s="2" t="s">
        <v>0</v>
      </c>
    </row>
    <row collapsed="false" customFormat="true" customHeight="false" hidden="false" outlineLevel="0" r="19">
      <c r="A19" s="2" t="s">
        <v>144</v>
      </c>
      <c r="B19" s="2" t="s">
        <v>305</v>
      </c>
      <c r="C19" s="3" t="n">
        <v>53</v>
      </c>
      <c r="D19" s="3" t="n">
        <v>100</v>
      </c>
      <c r="E19" s="4" t="n">
        <f>46289.6714369340 + (VLOOKUP($B$1,TimeZones!$A$1:$C$28,2,FALSE))/24</f>
        <v>46289.838103600654</v>
      </c>
      <c r="F19" s="4" t="n">
        <f>46289.6843289178 + (VLOOKUP($B$1,TimeZones!$A$1:$C$28,2,FALSE))/24</f>
        <v>46289.850995584464</v>
      </c>
      <c r="G19" s="2" t="s">
        <v>0</v>
      </c>
    </row>
    <row collapsed="false" customFormat="true" customHeight="false" hidden="false" outlineLevel="0" r="20">
      <c r="A20" s="2" t="s">
        <v>166</v>
      </c>
      <c r="B20" s="2" t="s">
        <v>238</v>
      </c>
      <c r="C20" s="3" t="n">
        <v>51</v>
      </c>
      <c r="D20" s="3" t="n">
        <v>100</v>
      </c>
      <c r="E20" s="4" t="n">
        <f>46289.5932842307 + (VLOOKUP($B$1,TimeZones!$A$1:$C$28,2,FALSE))/24</f>
        <v>46289.7599508974</v>
      </c>
      <c r="F20" s="4" t="n">
        <f>46289.6137578720 + (VLOOKUP($B$1,TimeZones!$A$1:$C$28,2,FALSE))/24</f>
        <v>46289.78042453863</v>
      </c>
      <c r="G20" s="2" t="s">
        <v>0</v>
      </c>
    </row>
    <row collapsed="false" customFormat="true" customHeight="false" hidden="false" outlineLevel="0" r="21">
      <c r="A21" s="2" t="s">
        <v>162</v>
      </c>
      <c r="B21" s="2" t="s">
        <v>255</v>
      </c>
      <c r="C21" s="3" t="n">
        <v>48</v>
      </c>
      <c r="D21" s="3" t="n">
        <v>100</v>
      </c>
      <c r="E21" s="4" t="n">
        <f>46289.6441484095 + (VLOOKUP($B$1,TimeZones!$A$1:$C$28,2,FALSE))/24</f>
        <v>46289.81081507612</v>
      </c>
      <c r="F21" s="4" t="n">
        <f>46289.6534255518 + (VLOOKUP($B$1,TimeZones!$A$1:$C$28,2,FALSE))/24</f>
        <v>46289.82009221851</v>
      </c>
      <c r="G21" s="2" t="s">
        <v>0</v>
      </c>
    </row>
    <row collapsed="false" customFormat="true" customHeight="false" hidden="false" outlineLevel="0" r="22">
      <c r="A22" s="2" t="s">
        <v>149</v>
      </c>
      <c r="B22" s="2" t="s">
        <v>192</v>
      </c>
      <c r="C22" s="3" t="n">
        <v>46</v>
      </c>
      <c r="D22" s="3" t="n">
        <v>100</v>
      </c>
      <c r="E22" s="4" t="n">
        <f>46289.6656656197 + (VLOOKUP($B$1,TimeZones!$A$1:$C$28,2,FALSE))/24</f>
        <v>46289.8323322864</v>
      </c>
      <c r="F22" s="4" t="n">
        <f>46289.6853906996 + (VLOOKUP($B$1,TimeZones!$A$1:$C$28,2,FALSE))/24</f>
        <v>46289.85205736626</v>
      </c>
      <c r="G22" s="2" t="s">
        <v>0</v>
      </c>
    </row>
    <row collapsed="false" customFormat="true" customHeight="false" hidden="false" outlineLevel="0" r="23">
      <c r="A23" s="2" t="s">
        <v>161</v>
      </c>
      <c r="B23" s="2" t="s">
        <v>306</v>
      </c>
      <c r="C23" s="3" t="n">
        <v>46</v>
      </c>
      <c r="D23" s="3" t="n">
        <v>100</v>
      </c>
      <c r="E23" s="4" t="n">
        <f>46289.7326293549 + (VLOOKUP($B$1,TimeZones!$A$1:$C$28,2,FALSE))/24</f>
        <v>46289.899296021606</v>
      </c>
      <c r="F23" s="4" t="n">
        <f>46289.7500000000 + (VLOOKUP($B$1,TimeZones!$A$1:$C$28,2,FALSE))/24</f>
        <v>46289.916666666664</v>
      </c>
      <c r="G23" s="2" t="s">
        <v>0</v>
      </c>
    </row>
    <row collapsed="false" customFormat="true" customHeight="false" hidden="false" outlineLevel="0" r="24">
      <c r="A24" s="2" t="s">
        <v>136</v>
      </c>
      <c r="B24" s="2" t="s">
        <v>325</v>
      </c>
      <c r="C24" s="3" t="n">
        <v>44</v>
      </c>
      <c r="D24" s="3" t="n">
        <v>100</v>
      </c>
      <c r="E24" s="4" t="n">
        <f>46289.5554086488 + (VLOOKUP($B$1,TimeZones!$A$1:$C$28,2,FALSE))/24</f>
        <v>46289.72207531546</v>
      </c>
      <c r="F24" s="4" t="n">
        <f>46289.5621084018 + (VLOOKUP($B$1,TimeZones!$A$1:$C$28,2,FALSE))/24</f>
        <v>46289.72877506847</v>
      </c>
      <c r="G24" s="2" t="s">
        <v>0</v>
      </c>
    </row>
    <row collapsed="false" customFormat="true" customHeight="false" hidden="false" outlineLevel="0" r="25">
      <c r="A25" s="2" t="s">
        <v>153</v>
      </c>
      <c r="B25" s="2" t="s">
        <v>380</v>
      </c>
      <c r="C25" s="3" t="n">
        <v>37</v>
      </c>
      <c r="D25" s="3" t="n">
        <v>100</v>
      </c>
      <c r="E25" s="4" t="n">
        <f>46289.5513046987 + (VLOOKUP($B$1,TimeZones!$A$1:$C$28,2,FALSE))/24</f>
        <v>46289.717971365404</v>
      </c>
      <c r="F25" s="4" t="n">
        <f>46289.5878848491 + (VLOOKUP($B$1,TimeZones!$A$1:$C$28,2,FALSE))/24</f>
        <v>46289.7545515158</v>
      </c>
      <c r="G25" s="2" t="s">
        <v>0</v>
      </c>
    </row>
    <row collapsed="false" customFormat="true" customHeight="false" hidden="false" outlineLevel="0" r="26">
      <c r="A26" s="2" t="s">
        <v>138</v>
      </c>
      <c r="B26" s="2" t="s">
        <v>219</v>
      </c>
      <c r="C26" s="3" t="n">
        <v>36</v>
      </c>
      <c r="D26" s="3" t="n">
        <v>100</v>
      </c>
      <c r="E26" s="4" t="n">
        <f>46289.7317921325 + (VLOOKUP($B$1,TimeZones!$A$1:$C$28,2,FALSE))/24</f>
        <v>46289.89845879913</v>
      </c>
      <c r="F26" s="4" t="n">
        <f>46289.7468150665 + (VLOOKUP($B$1,TimeZones!$A$1:$C$28,2,FALSE))/24</f>
        <v>46289.91348173318</v>
      </c>
      <c r="G26" s="2" t="s">
        <v>0</v>
      </c>
    </row>
    <row collapsed="false" customFormat="true" customHeight="false" hidden="false" outlineLevel="0" r="27">
      <c r="A27" s="2" t="s">
        <v>146</v>
      </c>
      <c r="B27" s="2" t="s">
        <v>284</v>
      </c>
      <c r="C27" s="3" t="n">
        <v>36</v>
      </c>
      <c r="D27" s="3" t="n">
        <v>100</v>
      </c>
      <c r="E27" s="4" t="n">
        <f>46289.5933444695 + (VLOOKUP($B$1,TimeZones!$A$1:$C$28,2,FALSE))/24</f>
        <v>46289.76001113619</v>
      </c>
      <c r="F27" s="4" t="n">
        <f>46289.6068643894 + (VLOOKUP($B$1,TimeZones!$A$1:$C$28,2,FALSE))/24</f>
        <v>46289.773531056075</v>
      </c>
      <c r="G27" s="2" t="s">
        <v>0</v>
      </c>
    </row>
    <row collapsed="false" customFormat="true" customHeight="false" hidden="false" outlineLevel="0" r="28">
      <c r="A28" s="2" t="s">
        <v>135</v>
      </c>
      <c r="B28" s="2" t="s">
        <v>319</v>
      </c>
      <c r="C28" s="3" t="n">
        <v>36</v>
      </c>
      <c r="D28" s="3" t="n">
        <v>100</v>
      </c>
      <c r="E28" s="4" t="n">
        <f>46289.5832321547 + (VLOOKUP($B$1,TimeZones!$A$1:$C$28,2,FALSE))/24</f>
        <v>46289.74989882141</v>
      </c>
      <c r="F28" s="4" t="n">
        <f>46289.5959038651 + (VLOOKUP($B$1,TimeZones!$A$1:$C$28,2,FALSE))/24</f>
        <v>46289.762570531755</v>
      </c>
      <c r="G28" s="2" t="s">
        <v>0</v>
      </c>
    </row>
    <row collapsed="false" customFormat="true" customHeight="false" hidden="false" outlineLevel="0" r="29">
      <c r="A29" s="2" t="s">
        <v>150</v>
      </c>
      <c r="B29" s="2" t="s">
        <v>418</v>
      </c>
      <c r="C29" s="3" t="n">
        <v>36</v>
      </c>
      <c r="D29" s="3" t="n">
        <v>100</v>
      </c>
      <c r="E29" s="4" t="n">
        <f>46289.6704487942 + (VLOOKUP($B$1,TimeZones!$A$1:$C$28,2,FALSE))/24</f>
        <v>46289.83711546089</v>
      </c>
      <c r="F29" s="4" t="n">
        <f>46289.6781716061 + (VLOOKUP($B$1,TimeZones!$A$1:$C$28,2,FALSE))/24</f>
        <v>46289.84483827273</v>
      </c>
      <c r="G29" s="2" t="s">
        <v>0</v>
      </c>
    </row>
    <row collapsed="false" customFormat="true" customHeight="false" hidden="false" outlineLevel="0" r="30">
      <c r="A30" s="2" t="s">
        <v>152</v>
      </c>
      <c r="B30" s="2" t="s">
        <v>397</v>
      </c>
      <c r="C30" s="3" t="n">
        <v>33</v>
      </c>
      <c r="D30" s="3" t="n">
        <v>100</v>
      </c>
      <c r="E30" s="4" t="n">
        <f>46289.6440811475 + (VLOOKUP($B$1,TimeZones!$A$1:$C$28,2,FALSE))/24</f>
        <v>46289.81074781419</v>
      </c>
      <c r="F30" s="4" t="n">
        <f>46289.6677892125 + (VLOOKUP($B$1,TimeZones!$A$1:$C$28,2,FALSE))/24</f>
        <v>46289.83445587912</v>
      </c>
      <c r="G30" s="2" t="s">
        <v>0</v>
      </c>
    </row>
    <row collapsed="false" customFormat="true" customHeight="false" hidden="false" outlineLevel="0" r="31">
      <c r="A31" s="2" t="s">
        <v>134</v>
      </c>
      <c r="B31" s="2" t="s">
        <v>233</v>
      </c>
      <c r="C31" s="3" t="n">
        <v>30</v>
      </c>
      <c r="D31" s="3" t="n">
        <v>100</v>
      </c>
      <c r="E31" s="4" t="n">
        <f>46289.5554244532 + (VLOOKUP($B$1,TimeZones!$A$1:$C$28,2,FALSE))/24</f>
        <v>46289.722091119824</v>
      </c>
      <c r="F31" s="4" t="n">
        <f>46289.5710982485 + (VLOOKUP($B$1,TimeZones!$A$1:$C$28,2,FALSE))/24</f>
        <v>46289.73776491514</v>
      </c>
      <c r="G31" s="2" t="s">
        <v>0</v>
      </c>
    </row>
    <row collapsed="false" customFormat="true" customHeight="false" hidden="false" outlineLevel="0" r="32">
      <c r="A32" s="2" t="s">
        <v>156</v>
      </c>
      <c r="B32" s="2" t="s">
        <v>359</v>
      </c>
      <c r="C32" s="3" t="n">
        <v>26</v>
      </c>
      <c r="D32" s="3" t="n">
        <v>100</v>
      </c>
      <c r="E32" s="4" t="n">
        <f>46289.6462508703 + (VLOOKUP($B$1,TimeZones!$A$1:$C$28,2,FALSE))/24</f>
        <v>46289.81291753693</v>
      </c>
      <c r="F32" s="4" t="n">
        <f>46289.6698559099 + (VLOOKUP($B$1,TimeZones!$A$1:$C$28,2,FALSE))/24</f>
        <v>46289.83652257654</v>
      </c>
      <c r="G32" s="2" t="s">
        <v>0</v>
      </c>
    </row>
    <row collapsed="false" customFormat="true" customHeight="false" hidden="false" outlineLevel="0" r="33">
      <c r="A33" s="2" t="s">
        <v>164</v>
      </c>
      <c r="B33" s="2" t="s">
        <v>383</v>
      </c>
      <c r="C33" s="3" t="n">
        <v>25</v>
      </c>
      <c r="D33" s="3" t="n">
        <v>100</v>
      </c>
      <c r="E33" s="4" t="n">
        <f>46289.5084521359 + (VLOOKUP($B$1,TimeZones!$A$1:$C$28,2,FALSE))/24</f>
        <v>46289.6751188026</v>
      </c>
      <c r="F33" s="4" t="n">
        <f>46289.5179482518 + (VLOOKUP($B$1,TimeZones!$A$1:$C$28,2,FALSE))/24</f>
        <v>46289.684614918515</v>
      </c>
      <c r="G33" s="2" t="s">
        <v>0</v>
      </c>
    </row>
    <row collapsed="false" customFormat="true" customHeight="false" hidden="false" outlineLevel="0" r="34">
      <c r="A34" s="2" t="s">
        <v>163</v>
      </c>
      <c r="B34" s="2" t="s">
        <v>299</v>
      </c>
      <c r="C34" s="3" t="n">
        <v>24</v>
      </c>
      <c r="D34" s="3" t="n">
        <v>100</v>
      </c>
      <c r="E34" s="4" t="n">
        <f>46289.5830347006 + (VLOOKUP($B$1,TimeZones!$A$1:$C$28,2,FALSE))/24</f>
        <v>46289.74970136721</v>
      </c>
      <c r="F34" s="4" t="n">
        <f>46289.5905389828 + (VLOOKUP($B$1,TimeZones!$A$1:$C$28,2,FALSE))/24</f>
        <v>46289.75720564944</v>
      </c>
      <c r="G34" s="2" t="s">
        <v>0</v>
      </c>
    </row>
    <row collapsed="false" customFormat="true" customHeight="false" hidden="false" outlineLevel="0" r="35">
      <c r="A35" s="2" t="s">
        <v>143</v>
      </c>
      <c r="B35" s="2" t="s">
        <v>214</v>
      </c>
      <c r="C35" s="3" t="n">
        <v>23</v>
      </c>
      <c r="D35" s="3" t="n">
        <v>100</v>
      </c>
      <c r="E35" s="4" t="n">
        <f>46289.7284209972 + (VLOOKUP($B$1,TimeZones!$A$1:$C$28,2,FALSE))/24</f>
        <v>46289.89508766383</v>
      </c>
      <c r="F35" s="4" t="n">
        <f>46289.7400887431 + (VLOOKUP($B$1,TimeZones!$A$1:$C$28,2,FALSE))/24</f>
        <v>46289.90675540978</v>
      </c>
      <c r="G35" s="2" t="s">
        <v>0</v>
      </c>
    </row>
    <row collapsed="false" customFormat="true" customHeight="false" hidden="false" outlineLevel="0" r="36">
      <c r="A36" s="2" t="s">
        <v>160</v>
      </c>
      <c r="B36" s="2" t="s">
        <v>207</v>
      </c>
      <c r="C36" s="3" t="n">
        <v>20</v>
      </c>
      <c r="D36" s="3" t="n">
        <v>100</v>
      </c>
      <c r="E36" s="4" t="n">
        <f>46289.5301870542 + (VLOOKUP($B$1,TimeZones!$A$1:$C$28,2,FALSE))/24</f>
        <v>46289.696853720874</v>
      </c>
      <c r="F36" s="4" t="n">
        <f>46289.5376886652 + (VLOOKUP($B$1,TimeZones!$A$1:$C$28,2,FALSE))/24</f>
        <v>46289.70435533183</v>
      </c>
      <c r="G36" s="2" t="s">
        <v>0</v>
      </c>
    </row>
    <row collapsed="false" customFormat="true" customHeight="false" hidden="false" outlineLevel="0" r="37">
      <c r="A37" s="2" t="s">
        <v>140</v>
      </c>
      <c r="B37" s="2" t="s">
        <v>413</v>
      </c>
      <c r="C37" s="3" t="n">
        <v>19</v>
      </c>
      <c r="D37" s="3" t="n">
        <v>100</v>
      </c>
      <c r="E37" s="4" t="n">
        <f>46289.5193368492 + (VLOOKUP($B$1,TimeZones!$A$1:$C$28,2,FALSE))/24</f>
        <v>46289.6860035159</v>
      </c>
      <c r="F37" s="4" t="n">
        <f>46289.5212480005 + (VLOOKUP($B$1,TimeZones!$A$1:$C$28,2,FALSE))/24</f>
        <v>46289.68791466716</v>
      </c>
      <c r="G37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404</v>
      </c>
      <c r="B1" s="2" t="s">
        <v>189</v>
      </c>
    </row>
    <row collapsed="false" customFormat="true" customHeight="false" hidden="false" outlineLevel="0" r="3">
      <c r="A3" s="1" t="s">
        <v>279</v>
      </c>
      <c r="B3" s="1" t="s">
        <v>395</v>
      </c>
      <c r="C3" s="1" t="s">
        <v>315</v>
      </c>
      <c r="D3" s="1" t="s">
        <v>298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369</v>
      </c>
      <c r="H3" s="1" t="s">
        <v>227</v>
      </c>
    </row>
    <row collapsed="false" customFormat="true" customHeight="false" hidden="false" outlineLevel="0" r="4">
      <c r="A4" s="2" t="s">
        <v>168</v>
      </c>
      <c r="B4" s="2" t="s">
        <v>387</v>
      </c>
      <c r="C4" s="3" t="n">
        <v>83</v>
      </c>
      <c r="D4" s="3" t="n">
        <v>100</v>
      </c>
      <c r="E4" s="4" t="n">
        <f>46289.6803776879 + (VLOOKUP($B$1,TimeZones!$A$1:$C$28,2,FALSE))/24</f>
        <v>46289.847044354545</v>
      </c>
      <c r="F4" s="4" t="n">
        <f>46289.7095179620 + (VLOOKUP($B$1,TimeZones!$A$1:$C$28,2,FALSE))/24</f>
        <v>46289.87618462869</v>
      </c>
      <c r="G4" s="2" t="s">
        <v>0</v>
      </c>
    </row>
    <row collapsed="false" customFormat="true" customHeight="false" hidden="false" outlineLevel="0" r="5">
      <c r="A5" s="2" t="s">
        <v>174</v>
      </c>
      <c r="B5" s="2" t="s">
        <v>330</v>
      </c>
      <c r="C5" s="3" t="n">
        <v>62</v>
      </c>
      <c r="D5" s="3" t="n">
        <v>100</v>
      </c>
      <c r="E5" s="4" t="n">
        <f>46289.6776002895 + (VLOOKUP($B$1,TimeZones!$A$1:$C$28,2,FALSE))/24</f>
        <v>46289.84426695617</v>
      </c>
      <c r="F5" s="4" t="n">
        <f>46289.7040101504 + (VLOOKUP($B$1,TimeZones!$A$1:$C$28,2,FALSE))/24</f>
        <v>46289.87067681707</v>
      </c>
      <c r="G5" s="2" t="s">
        <v>0</v>
      </c>
    </row>
    <row collapsed="false" customFormat="true" customHeight="false" hidden="false" outlineLevel="0" r="6">
      <c r="A6" s="2" t="s">
        <v>169</v>
      </c>
      <c r="B6" s="2" t="s">
        <v>247</v>
      </c>
      <c r="C6" s="3" t="n">
        <v>48</v>
      </c>
      <c r="D6" s="3" t="n">
        <v>100</v>
      </c>
      <c r="E6" s="4" t="n">
        <f>46289.7116662197 + (VLOOKUP($B$1,TimeZones!$A$1:$C$28,2,FALSE))/24</f>
        <v>46289.87833288634</v>
      </c>
      <c r="F6" s="4" t="n">
        <f>46289.7408153057 + (VLOOKUP($B$1,TimeZones!$A$1:$C$28,2,FALSE))/24</f>
        <v>46289.90748197239</v>
      </c>
      <c r="G6" s="2" t="s">
        <v>0</v>
      </c>
    </row>
    <row collapsed="false" customFormat="true" customHeight="false" hidden="false" outlineLevel="0" r="7">
      <c r="A7" s="2" t="s">
        <v>171</v>
      </c>
      <c r="B7" s="2" t="s">
        <v>345</v>
      </c>
      <c r="C7" s="3" t="n">
        <v>48</v>
      </c>
      <c r="D7" s="3" t="n">
        <v>100</v>
      </c>
      <c r="E7" s="4" t="n">
        <f>46289.5941143830 + (VLOOKUP($B$1,TimeZones!$A$1:$C$28,2,FALSE))/24</f>
        <v>46289.76078104964</v>
      </c>
      <c r="F7" s="4" t="n">
        <f>46289.6376874903 + (VLOOKUP($B$1,TimeZones!$A$1:$C$28,2,FALSE))/24</f>
        <v>46289.80435415693</v>
      </c>
      <c r="G7" s="2" t="s">
        <v>0</v>
      </c>
    </row>
    <row collapsed="false" customFormat="true" customHeight="false" hidden="false" outlineLevel="0" r="8">
      <c r="A8" s="2" t="s">
        <v>173</v>
      </c>
      <c r="B8" s="2" t="s">
        <v>343</v>
      </c>
      <c r="C8" s="3" t="n">
        <v>46</v>
      </c>
      <c r="D8" s="3" t="n">
        <v>100</v>
      </c>
      <c r="E8" s="4" t="n">
        <f>46289.5186343504 + (VLOOKUP($B$1,TimeZones!$A$1:$C$28,2,FALSE))/24</f>
        <v>46289.68530101707</v>
      </c>
      <c r="F8" s="4" t="n">
        <f>46289.5326194146 + (VLOOKUP($B$1,TimeZones!$A$1:$C$28,2,FALSE))/24</f>
        <v>46289.6992860813</v>
      </c>
      <c r="G8" s="2" t="s">
        <v>0</v>
      </c>
    </row>
    <row collapsed="false" customFormat="true" customHeight="false" hidden="false" outlineLevel="0" r="9">
      <c r="A9" s="2" t="s">
        <v>170</v>
      </c>
      <c r="B9" s="2" t="s">
        <v>356</v>
      </c>
      <c r="C9" s="3" t="n">
        <v>35</v>
      </c>
      <c r="D9" s="3" t="n">
        <v>100</v>
      </c>
      <c r="E9" s="4" t="n">
        <f>46289.6560091108 + (VLOOKUP($B$1,TimeZones!$A$1:$C$28,2,FALSE))/24</f>
        <v>46289.82267577746</v>
      </c>
      <c r="F9" s="4" t="n">
        <f>46289.6687078330 + (VLOOKUP($B$1,TimeZones!$A$1:$C$28,2,FALSE))/24</f>
        <v>46289.835374499686</v>
      </c>
      <c r="G9" s="2" t="s">
        <v>0</v>
      </c>
    </row>
    <row collapsed="false" customFormat="true" customHeight="false" hidden="false" outlineLevel="0" r="10">
      <c r="A10" s="2" t="s">
        <v>175</v>
      </c>
      <c r="B10" s="2" t="s">
        <v>371</v>
      </c>
      <c r="C10" s="3" t="n">
        <v>23</v>
      </c>
      <c r="D10" s="3" t="n">
        <v>100</v>
      </c>
      <c r="E10" s="4" t="n">
        <f>46289.7315844927 + (VLOOKUP($B$1,TimeZones!$A$1:$C$28,2,FALSE))/24</f>
        <v>46289.89825115935</v>
      </c>
      <c r="F10" s="4" t="n">
        <f>46289.7500000000 + (VLOOKUP($B$1,TimeZones!$A$1:$C$28,2,FALSE))/24</f>
        <v>46289.916666666664</v>
      </c>
      <c r="G10" s="2" t="s">
        <v>0</v>
      </c>
    </row>
    <row collapsed="false" customFormat="true" customHeight="false" hidden="false" outlineLevel="0" r="11">
      <c r="A11" s="2" t="s">
        <v>172</v>
      </c>
      <c r="B11" s="2" t="s">
        <v>197</v>
      </c>
      <c r="C11" s="3" t="n">
        <v>17</v>
      </c>
      <c r="D11" s="3" t="n">
        <v>100</v>
      </c>
      <c r="E11" s="4" t="n">
        <f>46289.7212427453 + (VLOOKUP($B$1,TimeZones!$A$1:$C$28,2,FALSE))/24</f>
        <v>46289.887909412</v>
      </c>
      <c r="F11" s="4" t="n">
        <f>46289.7256082423 + (VLOOKUP($B$1,TimeZones!$A$1:$C$28,2,FALSE))/24</f>
        <v>46289.89227490895</v>
      </c>
      <c r="G11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404</v>
      </c>
      <c r="B1" s="2" t="s">
        <v>189</v>
      </c>
    </row>
    <row collapsed="false" customFormat="true" customHeight="false" hidden="false" outlineLevel="0" r="3">
      <c r="A3" s="1" t="s">
        <v>279</v>
      </c>
      <c r="B3" s="1" t="s">
        <v>395</v>
      </c>
      <c r="C3" s="1" t="s">
        <v>315</v>
      </c>
      <c r="D3" s="1" t="s">
        <v>298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369</v>
      </c>
      <c r="H3" s="1" t="s">
        <v>227</v>
      </c>
    </row>
    <row collapsed="false" customFormat="true" customHeight="false" hidden="false" outlineLevel="0" r="4">
      <c r="A4" s="2" t="s">
        <v>176</v>
      </c>
      <c r="B4" s="2" t="s">
        <v>372</v>
      </c>
      <c r="C4" s="3" t="n">
        <v>38</v>
      </c>
      <c r="D4" s="3" t="n">
        <v>100</v>
      </c>
      <c r="E4" s="4" t="n">
        <f>46289.5886262364 + (VLOOKUP($B$1,TimeZones!$A$1:$C$28,2,FALSE))/24</f>
        <v>46289.75529290305</v>
      </c>
      <c r="F4" s="4" t="n">
        <f>46289.5984207528 + (VLOOKUP($B$1,TimeZones!$A$1:$C$28,2,FALSE))/24</f>
        <v>46289.76508741951</v>
      </c>
      <c r="G4" s="2" t="s">
        <v>0</v>
      </c>
    </row>
    <row collapsed="false" customFormat="true" customHeight="false" hidden="false" outlineLevel="0" r="5">
      <c r="A5" s="2" t="s">
        <v>178</v>
      </c>
      <c r="B5" s="2" t="s">
        <v>409</v>
      </c>
      <c r="C5" s="3" t="n">
        <v>38</v>
      </c>
      <c r="D5" s="3" t="n">
        <v>100</v>
      </c>
      <c r="E5" s="4" t="n">
        <f>46289.5283420881 + (VLOOKUP($B$1,TimeZones!$A$1:$C$28,2,FALSE))/24</f>
        <v>46289.69500875472</v>
      </c>
      <c r="F5" s="4" t="n">
        <f>46289.5436385765 + (VLOOKUP($B$1,TimeZones!$A$1:$C$28,2,FALSE))/24</f>
        <v>46289.71030524312</v>
      </c>
      <c r="G5" s="2" t="s">
        <v>0</v>
      </c>
    </row>
    <row collapsed="false" customFormat="true" customHeight="false" hidden="false" outlineLevel="0" r="6">
      <c r="A6" s="2" t="s">
        <v>179</v>
      </c>
      <c r="B6" s="2" t="s">
        <v>386</v>
      </c>
      <c r="C6" s="3" t="n">
        <v>29</v>
      </c>
      <c r="D6" s="3" t="n">
        <v>100</v>
      </c>
      <c r="E6" s="4" t="n">
        <f>46289.6720212288 + (VLOOKUP($B$1,TimeZones!$A$1:$C$28,2,FALSE))/24</f>
        <v>46289.83868789547</v>
      </c>
      <c r="F6" s="4" t="n">
        <f>46289.6761843188 + (VLOOKUP($B$1,TimeZones!$A$1:$C$28,2,FALSE))/24</f>
        <v>46289.84285098551</v>
      </c>
      <c r="G6" s="2" t="s">
        <v>0</v>
      </c>
    </row>
    <row collapsed="false" customFormat="true" customHeight="false" hidden="false" outlineLevel="0" r="7">
      <c r="A7" s="2" t="s">
        <v>177</v>
      </c>
      <c r="B7" s="2" t="s">
        <v>370</v>
      </c>
      <c r="C7" s="3" t="n">
        <v>25</v>
      </c>
      <c r="D7" s="3" t="n">
        <v>100</v>
      </c>
      <c r="E7" s="4" t="n">
        <f>46289.6453923004 + (VLOOKUP($B$1,TimeZones!$A$1:$C$28,2,FALSE))/24</f>
        <v>46289.812058967036</v>
      </c>
      <c r="F7" s="4" t="n">
        <f>46289.6622416744 + (VLOOKUP($B$1,TimeZones!$A$1:$C$28,2,FALSE))/24</f>
        <v>46289.828908341085</v>
      </c>
      <c r="G7" s="2" t="s">
        <v>0</v>
      </c>
    </row>
    <row collapsed="false" customFormat="true" customHeight="false" hidden="false" outlineLevel="0" r="8">
      <c r="A8" s="2" t="s">
        <v>180</v>
      </c>
      <c r="B8" s="2" t="s">
        <v>235</v>
      </c>
      <c r="C8" s="3" t="n">
        <v>19</v>
      </c>
      <c r="D8" s="3" t="n">
        <v>100</v>
      </c>
      <c r="E8" s="4" t="n">
        <f>46289.7354944493 + (VLOOKUP($B$1,TimeZones!$A$1:$C$28,2,FALSE))/24</f>
        <v>46289.902161115984</v>
      </c>
      <c r="F8" s="4" t="n">
        <f>46289.7500000000 + (VLOOKUP($B$1,TimeZones!$A$1:$C$28,2,FALSE))/24</f>
        <v>46289.916666666664</v>
      </c>
      <c r="G8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8.xml><?xml version="1.0" encoding="utf-8"?>
<worksheet xmlns:r="http://schemas.openxmlformats.org/officeDocument/2006/relationships" xmlns="http://schemas.openxmlformats.org/spreadsheetml/2006/main">
  <cols>
    <col customWidth="1" max="1" min="1" width="139.2"/>
    <col customWidth="1" max="2" min="2" width="34.8"/>
    <col customWidth="1" max="3" min="3" width="92.8"/>
  </cols>
  <sheetData>
    <row collapsed="false" customFormat="true" customHeight="false" hidden="false" outlineLevel="0" r="1">
      <c r="A1" s="2" t="s">
        <v>182</v>
      </c>
      <c r="B1" s="2" t="n">
        <v>0</v>
      </c>
      <c r="C1" s="2" t="s">
        <v>181</v>
      </c>
    </row>
    <row collapsed="false" customFormat="true" customHeight="false" hidden="false" outlineLevel="0" r="2">
      <c r="A2" s="2" t="s">
        <v>263</v>
      </c>
      <c r="B2" s="2" t="n">
        <v>2</v>
      </c>
      <c r="C2" s="2" t="s">
        <v>262</v>
      </c>
    </row>
    <row collapsed="false" customFormat="true" customHeight="false" hidden="false" outlineLevel="0" r="3">
      <c r="A3" s="2" t="s">
        <v>312</v>
      </c>
      <c r="B3" s="2" t="n">
        <v>3</v>
      </c>
      <c r="C3" s="2" t="s">
        <v>311</v>
      </c>
    </row>
    <row collapsed="false" customFormat="true" customHeight="false" hidden="false" outlineLevel="0" r="4">
      <c r="A4" s="2" t="s">
        <v>364</v>
      </c>
      <c r="B4" s="2" t="n">
        <v>3</v>
      </c>
      <c r="C4" s="2" t="s">
        <v>363</v>
      </c>
    </row>
    <row collapsed="false" customFormat="true" customHeight="false" hidden="false" outlineLevel="0" r="5">
      <c r="A5" s="2" t="s">
        <v>275</v>
      </c>
      <c r="B5" s="2" t="n">
        <v>3</v>
      </c>
      <c r="C5" s="2" t="s">
        <v>274</v>
      </c>
    </row>
    <row collapsed="false" customFormat="true" customHeight="false" hidden="false" outlineLevel="0" r="6">
      <c r="A6" s="2" t="s">
        <v>211</v>
      </c>
      <c r="B6" s="2" t="n">
        <v>3</v>
      </c>
      <c r="C6" s="2" t="s">
        <v>210</v>
      </c>
    </row>
    <row collapsed="false" customFormat="true" customHeight="false" hidden="false" outlineLevel="0" r="7">
      <c r="A7" s="2" t="s">
        <v>189</v>
      </c>
      <c r="B7" s="2" t="n">
        <v>4</v>
      </c>
      <c r="C7" s="2" t="s">
        <v>188</v>
      </c>
    </row>
    <row collapsed="false" customFormat="true" customHeight="false" hidden="false" outlineLevel="0" r="8">
      <c r="A8" s="2" t="s">
        <v>353</v>
      </c>
      <c r="B8" s="2" t="n">
        <v>4</v>
      </c>
      <c r="C8" s="2" t="s">
        <v>352</v>
      </c>
    </row>
    <row collapsed="false" customFormat="true" customHeight="false" hidden="false" outlineLevel="0" r="9">
      <c r="A9" s="2" t="s">
        <v>391</v>
      </c>
      <c r="B9" s="2" t="n">
        <v>4</v>
      </c>
      <c r="C9" s="2" t="s">
        <v>390</v>
      </c>
    </row>
    <row collapsed="false" customFormat="true" customHeight="false" hidden="false" outlineLevel="0" r="10">
      <c r="A10" s="2" t="s">
        <v>350</v>
      </c>
      <c r="B10" s="2" t="n">
        <v>4</v>
      </c>
      <c r="C10" s="2" t="s">
        <v>349</v>
      </c>
    </row>
    <row collapsed="false" customFormat="true" customHeight="false" hidden="false" outlineLevel="0" r="11">
      <c r="A11" s="2" t="s">
        <v>245</v>
      </c>
      <c r="B11" s="2" t="n">
        <v>5</v>
      </c>
      <c r="C11" s="2" t="s">
        <v>244</v>
      </c>
    </row>
    <row collapsed="false" customFormat="true" customHeight="false" hidden="false" outlineLevel="0" r="12">
      <c r="A12" s="2" t="s">
        <v>329</v>
      </c>
      <c r="B12" s="2" t="n">
        <v>6</v>
      </c>
      <c r="C12" s="2" t="s">
        <v>328</v>
      </c>
    </row>
    <row collapsed="false" customFormat="true" customHeight="false" hidden="false" outlineLevel="0" r="13">
      <c r="A13" s="2" t="s">
        <v>324</v>
      </c>
      <c r="B13" s="2" t="n">
        <v>7</v>
      </c>
      <c r="C13" s="2" t="s">
        <v>323</v>
      </c>
    </row>
    <row collapsed="false" customFormat="true" customHeight="false" hidden="false" outlineLevel="0" r="14">
      <c r="A14" s="2" t="s">
        <v>194</v>
      </c>
      <c r="B14" s="2" t="n">
        <v>7</v>
      </c>
      <c r="C14" s="2" t="s">
        <v>193</v>
      </c>
    </row>
    <row collapsed="false" customFormat="true" customHeight="false" hidden="false" outlineLevel="0" r="15">
      <c r="A15" s="2" t="s">
        <v>382</v>
      </c>
      <c r="B15" s="2" t="n">
        <v>7</v>
      </c>
      <c r="C15" s="2" t="s">
        <v>381</v>
      </c>
    </row>
    <row collapsed="false" customFormat="true" customHeight="false" hidden="false" outlineLevel="0" r="16">
      <c r="A16" s="2" t="s">
        <v>322</v>
      </c>
      <c r="B16" s="2" t="n">
        <v>7</v>
      </c>
      <c r="C16" s="2" t="s">
        <v>321</v>
      </c>
    </row>
    <row collapsed="false" customFormat="true" customHeight="false" hidden="false" outlineLevel="0" r="17">
      <c r="A17" s="2" t="s">
        <v>291</v>
      </c>
      <c r="B17" s="2" t="n">
        <v>7</v>
      </c>
      <c r="C17" s="2" t="s">
        <v>290</v>
      </c>
    </row>
    <row collapsed="false" customFormat="true" customHeight="false" hidden="false" outlineLevel="0" r="18">
      <c r="A18" s="2" t="s">
        <v>258</v>
      </c>
      <c r="B18" s="2" t="n">
        <v>8</v>
      </c>
      <c r="C18" s="2" t="s">
        <v>257</v>
      </c>
    </row>
    <row collapsed="false" customFormat="true" customHeight="false" hidden="false" outlineLevel="0" r="19">
      <c r="A19" s="2" t="s">
        <v>407</v>
      </c>
      <c r="B19" s="2" t="n">
        <v>9</v>
      </c>
      <c r="C19" s="2" t="s">
        <v>406</v>
      </c>
    </row>
    <row collapsed="false" customFormat="true" customHeight="false" hidden="false" outlineLevel="0" r="20">
      <c r="A20" s="2" t="s">
        <v>415</v>
      </c>
      <c r="B20" s="2" t="n">
        <v>9</v>
      </c>
      <c r="C20" s="2" t="s">
        <v>414</v>
      </c>
    </row>
    <row collapsed="false" customFormat="true" customHeight="false" hidden="false" outlineLevel="0" r="21">
      <c r="A21" s="2" t="s">
        <v>400</v>
      </c>
      <c r="B21" s="2" t="n">
        <v>9</v>
      </c>
      <c r="C21" s="2" t="s">
        <v>399</v>
      </c>
    </row>
    <row collapsed="false" customFormat="true" customHeight="false" hidden="false" outlineLevel="0" r="22">
      <c r="A22" s="2" t="s">
        <v>209</v>
      </c>
      <c r="B22" s="2" t="n">
        <v>10</v>
      </c>
      <c r="C22" s="2" t="s">
        <v>208</v>
      </c>
    </row>
    <row collapsed="false" customFormat="true" customHeight="false" hidden="false" outlineLevel="0" r="23">
      <c r="A23" s="2" t="s">
        <v>393</v>
      </c>
      <c r="B23" s="2" t="n">
        <v>10</v>
      </c>
      <c r="C23" s="2" t="s">
        <v>392</v>
      </c>
    </row>
    <row collapsed="false" customFormat="true" customHeight="false" hidden="false" outlineLevel="0" r="24">
      <c r="A24" s="2" t="s">
        <v>295</v>
      </c>
      <c r="B24" s="2" t="n">
        <v>11</v>
      </c>
      <c r="C24" s="2" t="s">
        <v>294</v>
      </c>
    </row>
    <row collapsed="false" customFormat="true" customHeight="false" hidden="false" outlineLevel="0" r="25">
      <c r="A25" s="2" t="s">
        <v>355</v>
      </c>
      <c r="B25" s="2" t="n">
        <v>11</v>
      </c>
      <c r="C25" s="2" t="s">
        <v>354</v>
      </c>
    </row>
    <row collapsed="false" customFormat="true" customHeight="false" hidden="false" outlineLevel="0" r="26">
      <c r="A26" s="2" t="s">
        <v>368</v>
      </c>
      <c r="B26" s="2" t="n">
        <v>11</v>
      </c>
      <c r="C26" s="2" t="s">
        <v>367</v>
      </c>
    </row>
    <row collapsed="false" customFormat="true" customHeight="false" hidden="false" outlineLevel="0" r="27">
      <c r="A27" s="2" t="s">
        <v>265</v>
      </c>
      <c r="B27" s="2" t="n">
        <v>12</v>
      </c>
      <c r="C27" s="2" t="s">
        <v>264</v>
      </c>
    </row>
    <row collapsed="false" customFormat="true" customHeight="false" hidden="false" outlineLevel="0" r="28">
      <c r="A28" s="2" t="s">
        <v>186</v>
      </c>
      <c r="B28" s="2" t="n">
        <v>12</v>
      </c>
      <c r="C28" s="2" t="s">
        <v>185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8</i4>
      </variant>
    </vector>
  </HeadingPairs>
  <TitlesOfParts>
    <vector xmlns="http://schemas.openxmlformats.org/officeDocument/2006/docPropsVTypes" baseType="lpstr" size="8">
      <lpstr>19426 Астрономия 5 класс</lpstr>
      <lpstr>19427 Астрономия 6 класс</lpstr>
      <lpstr>19428 Астрономия 7 класс</lpstr>
      <lpstr>19429 Астрономия 8 класс</lpstr>
      <lpstr>19430 Астрономия 9 класс</lpstr>
      <lpstr>19431 Астрономия 10 класс</lpstr>
      <lpstr>19432 Астрономия 11 класс</lpstr>
      <lpstr>TimeZones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2026-10-13T12:53:38.363514872Z</dcterms:created>
  <dc:creator>xlsxwriter</dc:creator>
  <cp:lastModifiedBy>xlsxwriter</cp:lastModifiedBy>
</cp:coreProperties>
</file>