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9493 Физика 7 класс" sheetId="1" state="visible" r:id="rId3"/>
    <sheet name="19494 Физика 8 класс" sheetId="2" state="visible" r:id="rId4"/>
    <sheet name="19495 Физика 9 класс" sheetId="3" state="visible" r:id="rId5"/>
    <sheet name="19500 Физика 10 класс" sheetId="4" state="visible" r:id="rId6"/>
    <sheet name="19503 Физика 11 класс" sheetId="5" state="visible" r:id="rId7"/>
    <sheet name="TimeZones" sheetId="6" state="veryHidden" r:id="rId8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<sst xmlns="http://schemas.openxmlformats.org/spreadsheetml/2006/main">
  <si>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</si>
  <si>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19493/edu633737/7/526q776q</t>
  </si>
  <si>
    <t>19493/edu633737/7/82644767</t>
  </si>
  <si>
    <t>19493/edu633737/7/8rwg5qwq</t>
  </si>
  <si>
    <t>19493/edu633737/7/8rwgzq6q</t>
  </si>
  <si>
    <t>19493/edu633737/7/93wvvqwz</t>
  </si>
  <si>
    <t>19493/edu633737/7/9v6723w8</t>
  </si>
  <si>
    <t>19493/edu633737/7/q36234wz</t>
  </si>
  <si>
    <t>19493/edu633737/7/q362r46z</t>
  </si>
  <si>
    <t>19493/edu633737/7/rqw59zw7</t>
  </si>
  <si>
    <t>19493/edu633737/7/rqw5z673</t>
  </si>
  <si>
    <t>19493/edu633737/7/v2wr2zwz</t>
  </si>
  <si>
    <t>19493/edu633737/7/v2wr7z6z</t>
  </si>
  <si>
    <t>19493/edu633737/7/v2wrgz6z</t>
  </si>
  <si>
    <t>19493/edu633737/7/v4w3r765</t>
  </si>
  <si>
    <t>19493/edu633737/7/v4w3v765</t>
  </si>
  <si>
    <t>19493/edu633737/7/vrw84rw4</t>
  </si>
  <si>
    <t>19493/edu633737/7/vrw8rw4q</t>
  </si>
  <si>
    <t>19494/edu633737/8/328ww38r</t>
  </si>
  <si>
    <t>19494/edu633737/8/356q278v</t>
  </si>
  <si>
    <t>19494/edu633737/8/356q76v7</t>
  </si>
  <si>
    <t>19494/edu633737/8/356q776v</t>
  </si>
  <si>
    <t>19494/edu633737/8/356qg76v</t>
  </si>
  <si>
    <t>19494/edu633737/8/3q8r7z6g</t>
  </si>
  <si>
    <t>19494/edu633737/8/3q8rvz8g</t>
  </si>
  <si>
    <t>19494/edu633737/8/3q8rz8gr</t>
  </si>
  <si>
    <t>19494/edu633737/8/42844r8g</t>
  </si>
  <si>
    <t>19494/edu633737/8/42847r6g</t>
  </si>
  <si>
    <t>19494/edu633737/8/42849r6g</t>
  </si>
  <si>
    <t>19494/edu633737/8/4284wr6g</t>
  </si>
  <si>
    <t>19494/edu633737/8/4r8ggq87</t>
  </si>
  <si>
    <t>19494/edu633737/8/4r8gzq67</t>
  </si>
  <si>
    <t>19494/edu633737/8/75852z6z</t>
  </si>
  <si>
    <t>19494/edu633737/8/75853z8z</t>
  </si>
  <si>
    <t>19494/edu633737/8/7585qz8z</t>
  </si>
  <si>
    <t>19494/edu633737/8/7585rz6z</t>
  </si>
  <si>
    <t>19494/edu633737/8/9v672382</t>
  </si>
  <si>
    <t>19494/edu633737/8/9v67w362</t>
  </si>
  <si>
    <t>19494/edu633737/8/gr8v2q89</t>
  </si>
  <si>
    <t>19494/edu633737/8/gr8v3q69</t>
  </si>
  <si>
    <t>19494/edu633737/8/gr8v9q69</t>
  </si>
  <si>
    <t>19494/edu633737/8/gr8vvq89</t>
  </si>
  <si>
    <t>19494/edu633737/8/q362rw6z</t>
  </si>
  <si>
    <t>19494/edu633737/8/r4692853</t>
  </si>
  <si>
    <t>19494/edu633737/8/r4693265</t>
  </si>
  <si>
    <t>19494/edu633737/8/r4695265</t>
  </si>
  <si>
    <t>19494/edu633737/8/r469g265</t>
  </si>
  <si>
    <t>19494/edu633737/8/r469q265</t>
  </si>
  <si>
    <t>19494/edu633737/8/r469r285</t>
  </si>
  <si>
    <t>19494/edu633737/8/vw83r76g</t>
  </si>
  <si>
    <t>19494/edu633737/8/vw83w78g</t>
  </si>
  <si>
    <t>19494/edu633737/8/zr6zgg83</t>
  </si>
  <si>
    <t>19494/edu633737/8/zr6zrg63</t>
  </si>
  <si>
    <t>19495/edu633737/9/8rwgqw62</t>
  </si>
  <si>
    <t>19495/edu633737/9/93wv2qw5</t>
  </si>
  <si>
    <t>19495/edu633737/9/g479327r</t>
  </si>
  <si>
    <t>19495/edu633737/9/g479q27r</t>
  </si>
  <si>
    <t>19495/edu633737/9/q372v679</t>
  </si>
  <si>
    <t>19495/edu633737/9/qr763w3g</t>
  </si>
  <si>
    <t>19495/edu633737/9/v6w34475</t>
  </si>
  <si>
    <t>19495/edu633737/9/v6w3z475</t>
  </si>
  <si>
    <t>19500/edu633737/10/3qwrzwr6</t>
  </si>
  <si>
    <t>19500/edu633737/10/grwv3q86</t>
  </si>
  <si>
    <t>19503/edu633737/11/327w3v75</t>
  </si>
  <si>
    <t>19503/edu633737/11/8r6gzq74</t>
  </si>
  <si>
    <t>19503/edu633737/11/936v3q7z</t>
  </si>
  <si>
    <t>19503/edu633737/11/v463ww6r</t>
  </si>
  <si>
    <t>19503/edu633737/11/wq795278</t>
  </si>
  <si>
    <t>19503/edu633737/11/wr68wr7q</t>
  </si>
  <si>
    <t>UTC</t>
  </si>
  <si>
    <t>UTC (МСК-3, UTC)</t>
  </si>
  <si>
    <t>Алексеев Алексей Алексеевич</t>
  </si>
  <si>
    <t>Анадырь</t>
  </si>
  <si>
    <t>Анадырь (МСК+9, UTC+12)</t>
  </si>
  <si>
    <t>Артюхина Злата Сергеевна</t>
  </si>
  <si>
    <t>Астрахань</t>
  </si>
  <si>
    <t>Астрахань (МСК+1, UTC+4)</t>
  </si>
  <si>
    <t>Балин Сергей</t>
  </si>
  <si>
    <t>Барнаул</t>
  </si>
  <si>
    <t>Барнаул (МСК+4, UTC+7)</t>
  </si>
  <si>
    <t>Белова София Сергеевна</t>
  </si>
  <si>
    <t>Белоусова Виктория Владимировна</t>
  </si>
  <si>
    <t>Белюков Никита Андреевич</t>
  </si>
  <si>
    <t>Бондарь Илья Алексеевич</t>
  </si>
  <si>
    <t>Васильев Кирилл Сергеевич</t>
  </si>
  <si>
    <t>Василькин Степан Максимович</t>
  </si>
  <si>
    <t>Вишняков Иван Андреевич</t>
  </si>
  <si>
    <t>Владивосток</t>
  </si>
  <si>
    <t>Владивосток (МСК+7, UTC+10)</t>
  </si>
  <si>
    <t>Волгоград</t>
  </si>
  <si>
    <t>Волгоград (МСК, UTC+3)</t>
  </si>
  <si>
    <t>Волков Иван Романович</t>
  </si>
  <si>
    <t>Вьюшкова Софья Александровна</t>
  </si>
  <si>
    <t>Гаврилов Даниил Дмитриевич</t>
  </si>
  <si>
    <t>Головатенко Виктория Евгеньевна</t>
  </si>
  <si>
    <t>Голубчиков Павел Александрович</t>
  </si>
  <si>
    <t>Голяков Алексей Павлович</t>
  </si>
  <si>
    <t>Гордеев Женя Александрович</t>
  </si>
  <si>
    <t>Грамота</t>
  </si>
  <si>
    <t>Гребенкин Михаил Александрович</t>
  </si>
  <si>
    <t>Гребнев Михаил Сергеевич</t>
  </si>
  <si>
    <t>Демин Даниэль Арменович</t>
  </si>
  <si>
    <t>Джафаров Мурад Джавид оглы</t>
  </si>
  <si>
    <t>Дмитриев Дмитрий Артемович</t>
  </si>
  <si>
    <t>Дьячкова Нина Александр</t>
  </si>
  <si>
    <t>Евсеева Софья Сергеевна</t>
  </si>
  <si>
    <t>Екатеринбург</t>
  </si>
  <si>
    <t>Екатеринбург (МСК+2, UTC+5)</t>
  </si>
  <si>
    <t>Жихарев Никита Сергеевич</t>
  </si>
  <si>
    <t>Завалищина Светлана Владимировна</t>
  </si>
  <si>
    <t>Зяблова Виктория Сергеевна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</si>
  <si>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</si>
  <si>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</si>
  <si>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</si>
  <si>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</si>
  <si>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</si>
  <si>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</si>
  <si>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Канцерова Яна Вячеславовна</t>
  </si>
  <si>
    <t>Карташёва Алёна Александровна</t>
  </si>
  <si>
    <t>Касимов Илья Алишерович</t>
  </si>
  <si>
    <t>Квасова Дарья Алексеевна</t>
  </si>
  <si>
    <t>Киров</t>
  </si>
  <si>
    <t>Киров (МСК, UTC+3)</t>
  </si>
  <si>
    <t>Кнестпяин Артемий Дмитриевич</t>
  </si>
  <si>
    <t>Князева Софья Александровна</t>
  </si>
  <si>
    <t>Код</t>
  </si>
  <si>
    <t>Королева Станислава Максимовна</t>
  </si>
  <si>
    <t>Котельникова София Вячеславовна</t>
  </si>
  <si>
    <t>Красноярск</t>
  </si>
  <si>
    <t>Красноярск (МСК+4, UTC+7)</t>
  </si>
  <si>
    <t>Лапушкина Аня Алексеевна</t>
  </si>
  <si>
    <t>Магадан</t>
  </si>
  <si>
    <t>Магадан (МСК+8, UTC+11)</t>
  </si>
  <si>
    <t>Максимальный балл</t>
  </si>
  <si>
    <t>Маркина Анастасия Владимировна</t>
  </si>
  <si>
    <t>Медведев Макар Андреевич</t>
  </si>
  <si>
    <t>Моисеева Анастасия Денисовна</t>
  </si>
  <si>
    <t>Москва</t>
  </si>
  <si>
    <t>Москва (МСК, UTC+3)</t>
  </si>
  <si>
    <t>Мусатов Сергей Александрович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</si>
  <si>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</si>
  <si>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</si>
  <si>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</si>
  <si>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</si>
  <si>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</si>
  <si>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</si>
  <si>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</si>
  <si>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Панарин Матвей Павлович</t>
  </si>
  <si>
    <t>Панкратова Анастасия Сергеевна</t>
  </si>
  <si>
    <t>Победнова Валерия Анатольевна</t>
  </si>
  <si>
    <t>Погодина Милана Максимовна</t>
  </si>
  <si>
    <t>Поликронов Николай Романович</t>
  </si>
  <si>
    <t>Протасов Глеб Сергеевич</t>
  </si>
  <si>
    <t>Ровный Артём Станиславович</t>
  </si>
  <si>
    <t>Салютин Ярослав Александрович</t>
  </si>
  <si>
    <t>Самара</t>
  </si>
  <si>
    <t>Самара (МСК+1, UTC+4)</t>
  </si>
  <si>
    <t>Самойлов Арсений Витальевич</t>
  </si>
  <si>
    <t>Саратов</t>
  </si>
  <si>
    <t>Саратов (МСК+1, UTC+4)</t>
  </si>
  <si>
    <t>Сахалин</t>
  </si>
  <si>
    <t>Сахалин (МСК+8, UTC+11)</t>
  </si>
  <si>
    <t>Сильченко Анна Андреевна</t>
  </si>
  <si>
    <t>Симферополь</t>
  </si>
  <si>
    <t>Симферополь (МСК, UTC+3)</t>
  </si>
  <si>
    <t>Среднеколымск</t>
  </si>
  <si>
    <t>Среднеколымск (МСК+8, UTC+11)</t>
  </si>
  <si>
    <t>Статус</t>
  </si>
  <si>
    <t>Степанов Матвей Андреевич</t>
  </si>
  <si>
    <t>Степанян Аделина Арменовна</t>
  </si>
  <si>
    <t>Степанян Анна Арменовна</t>
  </si>
  <si>
    <t>Султанова Самира Ильдаровна</t>
  </si>
  <si>
    <t>Таджидинов Мухаммадамин Мирсаидович</t>
  </si>
  <si>
    <t>Ткачёв Артём Евгеньевич</t>
  </si>
  <si>
    <t>Томск</t>
  </si>
  <si>
    <t>Томск (МСК+4, UTC+7)</t>
  </si>
  <si>
    <t>Трофимов Михаил Дмитриевич</t>
  </si>
  <si>
    <t>Трячков Николай Евгеньевич</t>
  </si>
  <si>
    <t>Ульяновск</t>
  </si>
  <si>
    <t>Ульяновск (МСК+1, UTC+4)</t>
  </si>
  <si>
    <t>Усть-Нера</t>
  </si>
  <si>
    <t>Усть-Нера (МСК+7, UTC+10)</t>
  </si>
  <si>
    <t>ФИО</t>
  </si>
  <si>
    <t>Фролов Арсений Юрьевич</t>
  </si>
  <si>
    <t>Фролов Иван Сергеевич</t>
  </si>
  <si>
    <t>Хандыга</t>
  </si>
  <si>
    <t>Хандыга (МСК+6, UTC+9)</t>
  </si>
  <si>
    <t>Часовой пояс</t>
  </si>
  <si>
    <t>Чита</t>
  </si>
  <si>
    <t>Чита (МСК+6, UTC+9)</t>
  </si>
  <si>
    <t>Шамионова Амина Ренатовна</t>
  </si>
  <si>
    <t>Шамсутдинова Вероника Ринатовна</t>
  </si>
  <si>
    <t>Шангареев Илья Ильшатович</t>
  </si>
  <si>
    <t>Шутюркина Полина Алексеева</t>
  </si>
  <si>
    <t>Юферев Илья Андреевич</t>
  </si>
  <si>
    <t>Якутск</t>
  </si>
  <si>
    <t>Якутск (МСК+6, UTC+9)</t>
  </si>
  <si>
    <t>исенова алсу мендыгалиевна</t>
  </si>
  <si>
    <t>фомина полина романовна</t>
  </si>
  <si>
    <t>шамсутдинова диана ринатовна</t>
  </si>
</sst>
</file>

<file path=xl/styles.xml><?xml version="1.0" encoding="utf-8"?>
<!--Stylesheet generated by xlsx-->
<styleSheet xmlns="http://schemas.openxmlformats.org/spreadsheetml/2006/main">
  <numFmts count="2">
    <numFmt formatCode="##0.0" numFmtId="164"/>
    <numFmt formatCode="dd mmmm yyyy &quot;в&quot; hh:mm" numFmtId="165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5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  <xf applyAlignment="1" applyFont="1" applyNumberFormat="1" fontId="2" numFmtId="165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187</v>
      </c>
      <c r="B1" s="2" t="s">
        <v>76</v>
      </c>
    </row>
    <row collapsed="false" customFormat="true" customHeight="false" hidden="false" outlineLevel="0" r="3">
      <c r="A3" s="1" t="s">
        <v>125</v>
      </c>
      <c r="B3" s="1" t="s">
        <v>182</v>
      </c>
      <c r="C3" s="1" t="s">
        <v>140</v>
      </c>
      <c r="D3" s="1" t="s">
        <v>133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167</v>
      </c>
      <c r="H3" s="1" t="s">
        <v>98</v>
      </c>
    </row>
    <row collapsed="false" customFormat="true" customHeight="false" hidden="false" outlineLevel="0" r="4">
      <c r="A4" s="2" t="s">
        <v>2</v>
      </c>
      <c r="B4" s="2" t="s">
        <v>108</v>
      </c>
      <c r="C4" s="3" t="n">
        <v>28</v>
      </c>
      <c r="D4" s="3" t="n">
        <v>30</v>
      </c>
      <c r="E4" s="4" t="n">
        <f>46296.6323420146 + (VLOOKUP($B$1,TimeZones!$A$1:$C$28,2,FALSE))/24</f>
        <v>46296.79900868126</v>
      </c>
      <c r="F4" s="4" t="n">
        <f>46296.6574353942 + (VLOOKUP($B$1,TimeZones!$A$1:$C$28,2,FALSE))/24</f>
        <v>46296.82410206089</v>
      </c>
      <c r="G4" s="2" t="s">
        <v>0</v>
      </c>
    </row>
    <row collapsed="false" customFormat="true" customHeight="false" hidden="false" outlineLevel="0" r="5">
      <c r="A5" s="2" t="s">
        <v>13</v>
      </c>
      <c r="B5" s="2" t="s">
        <v>169</v>
      </c>
      <c r="C5" s="3" t="n">
        <v>28</v>
      </c>
      <c r="D5" s="3" t="n">
        <v>30</v>
      </c>
      <c r="E5" s="4" t="n">
        <f>46296.7092818876 + (VLOOKUP($B$1,TimeZones!$A$1:$C$28,2,FALSE))/24</f>
        <v>46296.875948554225</v>
      </c>
      <c r="F5" s="4" t="n">
        <f>46296.7269818732 + (VLOOKUP($B$1,TimeZones!$A$1:$C$28,2,FALSE))/24</f>
        <v>46296.89364853986</v>
      </c>
      <c r="G5" s="2" t="s">
        <v>0</v>
      </c>
    </row>
    <row collapsed="false" customFormat="true" customHeight="false" hidden="false" outlineLevel="0" r="6">
      <c r="A6" s="2" t="s">
        <v>16</v>
      </c>
      <c r="B6" s="2" t="s">
        <v>109</v>
      </c>
      <c r="C6" s="3" t="n">
        <v>17</v>
      </c>
      <c r="D6" s="3" t="n">
        <v>30</v>
      </c>
      <c r="E6" s="4" t="n">
        <f>46296.6104037044 + (VLOOKUP($B$1,TimeZones!$A$1:$C$28,2,FALSE))/24</f>
        <v>46296.77707037108</v>
      </c>
      <c r="F6" s="4" t="n">
        <f>46296.6183786325 + (VLOOKUP($B$1,TimeZones!$A$1:$C$28,2,FALSE))/24</f>
        <v>46296.7850452992</v>
      </c>
      <c r="G6" s="2" t="s">
        <v>0</v>
      </c>
    </row>
    <row collapsed="false" customFormat="true" customHeight="false" hidden="false" outlineLevel="0" r="7">
      <c r="A7" s="2" t="s">
        <v>12</v>
      </c>
      <c r="B7" s="2" t="s">
        <v>162</v>
      </c>
      <c r="C7" s="3" t="n">
        <v>17</v>
      </c>
      <c r="D7" s="3" t="n">
        <v>30</v>
      </c>
      <c r="E7" s="4" t="n">
        <f>46296.6054274031 + (VLOOKUP($B$1,TimeZones!$A$1:$C$28,2,FALSE))/24</f>
        <v>46296.77209406977</v>
      </c>
      <c r="F7" s="4" t="n">
        <f>46296.6124882815 + (VLOOKUP($B$1,TimeZones!$A$1:$C$28,2,FALSE))/24</f>
        <v>46296.77915494817</v>
      </c>
      <c r="G7" s="2" t="s">
        <v>0</v>
      </c>
    </row>
    <row collapsed="false" customFormat="true" customHeight="false" hidden="false" outlineLevel="0" r="8">
      <c r="A8" s="2" t="s">
        <v>15</v>
      </c>
      <c r="B8" s="2" t="s">
        <v>94</v>
      </c>
      <c r="C8" s="3" t="n">
        <v>16</v>
      </c>
      <c r="D8" s="3" t="n">
        <v>30</v>
      </c>
      <c r="E8" s="4" t="n">
        <f>46296.6787567743 + (VLOOKUP($B$1,TimeZones!$A$1:$C$28,2,FALSE))/24</f>
        <v>46296.84542344097</v>
      </c>
      <c r="F8" s="4" t="n">
        <f>46296.6911112429 + (VLOOKUP($B$1,TimeZones!$A$1:$C$28,2,FALSE))/24</f>
        <v>46296.85777790956</v>
      </c>
      <c r="G8" s="2" t="s">
        <v>0</v>
      </c>
    </row>
    <row collapsed="false" customFormat="true" customHeight="false" hidden="false" outlineLevel="0" r="9">
      <c r="A9" s="2" t="s">
        <v>4</v>
      </c>
      <c r="B9" s="2" t="s">
        <v>110</v>
      </c>
      <c r="C9" s="3" t="n">
        <v>16</v>
      </c>
      <c r="D9" s="3" t="n">
        <v>30</v>
      </c>
      <c r="E9" s="4" t="n">
        <f>46296.5863270202 + (VLOOKUP($B$1,TimeZones!$A$1:$C$28,2,FALSE))/24</f>
        <v>46296.752993686896</v>
      </c>
      <c r="F9" s="4" t="n">
        <f>46296.6021554058 + (VLOOKUP($B$1,TimeZones!$A$1:$C$28,2,FALSE))/24</f>
        <v>46296.76882207251</v>
      </c>
      <c r="G9" s="2" t="s">
        <v>0</v>
      </c>
    </row>
    <row collapsed="false" customFormat="true" customHeight="false" hidden="false" outlineLevel="0" r="10">
      <c r="A10" s="2" t="s">
        <v>7</v>
      </c>
      <c r="B10" s="2" t="s">
        <v>151</v>
      </c>
      <c r="C10" s="3" t="n">
        <v>16</v>
      </c>
      <c r="D10" s="3" t="n">
        <v>30</v>
      </c>
      <c r="E10" s="4" t="n">
        <f>46296.6144134960 + (VLOOKUP($B$1,TimeZones!$A$1:$C$28,2,FALSE))/24</f>
        <v>46296.78108016263</v>
      </c>
      <c r="F10" s="4" t="n">
        <f>46296.6214195679 + (VLOOKUP($B$1,TimeZones!$A$1:$C$28,2,FALSE))/24</f>
        <v>46296.78808623458</v>
      </c>
      <c r="G10" s="2" t="s">
        <v>0</v>
      </c>
    </row>
    <row collapsed="false" customFormat="true" customHeight="false" hidden="false" outlineLevel="0" r="11">
      <c r="A11" s="2" t="s">
        <v>9</v>
      </c>
      <c r="B11" s="2" t="s">
        <v>177</v>
      </c>
      <c r="C11" s="3" t="n">
        <v>15</v>
      </c>
      <c r="D11" s="3" t="n">
        <v>30</v>
      </c>
      <c r="E11" s="4" t="n">
        <f>46296.4749628536 + (VLOOKUP($B$1,TimeZones!$A$1:$C$28,2,FALSE))/24</f>
        <v>46296.641629520265</v>
      </c>
      <c r="F11" s="4" t="n">
        <f>46296.4813110998 + (VLOOKUP($B$1,TimeZones!$A$1:$C$28,2,FALSE))/24</f>
        <v>46296.6479777665</v>
      </c>
      <c r="G11" s="2" t="s">
        <v>0</v>
      </c>
    </row>
    <row collapsed="false" customFormat="true" customHeight="false" hidden="false" outlineLevel="0" r="12">
      <c r="A12" s="2" t="s">
        <v>5</v>
      </c>
      <c r="B12" s="2" t="s">
        <v>105</v>
      </c>
      <c r="C12" s="3" t="n">
        <v>14</v>
      </c>
      <c r="D12" s="3" t="n">
        <v>30</v>
      </c>
      <c r="E12" s="4" t="n">
        <f>46296.5889696502 + (VLOOKUP($B$1,TimeZones!$A$1:$C$28,2,FALSE))/24</f>
        <v>46296.75563631687</v>
      </c>
      <c r="F12" s="4" t="n">
        <f>46296.6024280658 + (VLOOKUP($B$1,TimeZones!$A$1:$C$28,2,FALSE))/24</f>
        <v>46296.769094732466</v>
      </c>
      <c r="G12" s="2" t="s">
        <v>0</v>
      </c>
    </row>
    <row collapsed="false" customFormat="true" customHeight="false" hidden="false" outlineLevel="0" r="13">
      <c r="A13" s="2" t="s">
        <v>14</v>
      </c>
      <c r="B13" s="2" t="s">
        <v>118</v>
      </c>
      <c r="C13" s="3" t="n">
        <v>14</v>
      </c>
      <c r="D13" s="3" t="n">
        <v>30</v>
      </c>
      <c r="E13" s="4" t="n">
        <f>46296.7081000301 + (VLOOKUP($B$1,TimeZones!$A$1:$C$28,2,FALSE))/24</f>
        <v>46296.87476669678</v>
      </c>
      <c r="F13" s="4" t="n">
        <f>46296.7204184730 + (VLOOKUP($B$1,TimeZones!$A$1:$C$28,2,FALSE))/24</f>
        <v>46296.88708513965</v>
      </c>
      <c r="G13" s="2" t="s">
        <v>0</v>
      </c>
    </row>
    <row collapsed="false" customFormat="true" customHeight="false" hidden="false" outlineLevel="0" r="14">
      <c r="A14" s="2" t="s">
        <v>1</v>
      </c>
      <c r="B14" s="2" t="s">
        <v>101</v>
      </c>
      <c r="C14" s="3" t="n">
        <v>12</v>
      </c>
      <c r="D14" s="3" t="n">
        <v>30</v>
      </c>
      <c r="E14" s="4" t="n">
        <f>46296.4256993587 + (VLOOKUP($B$1,TimeZones!$A$1:$C$28,2,FALSE))/24</f>
        <v>46296.59236602533</v>
      </c>
      <c r="F14" s="4" t="n">
        <f>46296.4398532773 + (VLOOKUP($B$1,TimeZones!$A$1:$C$28,2,FALSE))/24</f>
        <v>46296.60651994397</v>
      </c>
      <c r="G14" s="2" t="s">
        <v>0</v>
      </c>
    </row>
    <row collapsed="false" customFormat="true" customHeight="false" hidden="false" outlineLevel="0" r="15">
      <c r="A15" s="2" t="s">
        <v>8</v>
      </c>
      <c r="B15" s="2" t="s">
        <v>173</v>
      </c>
      <c r="C15" s="3" t="n">
        <v>12</v>
      </c>
      <c r="D15" s="3" t="n">
        <v>30</v>
      </c>
      <c r="E15" s="4" t="n">
        <f>46296.4354270783 + (VLOOKUP($B$1,TimeZones!$A$1:$C$28,2,FALSE))/24</f>
        <v>46296.602093745</v>
      </c>
      <c r="F15" s="4" t="n">
        <f>46296.4409275903 + (VLOOKUP($B$1,TimeZones!$A$1:$C$28,2,FALSE))/24</f>
        <v>46296.607594256944</v>
      </c>
      <c r="G15" s="2" t="s">
        <v>0</v>
      </c>
    </row>
    <row collapsed="false" customFormat="true" customHeight="false" hidden="false" outlineLevel="0" r="16">
      <c r="A16" s="2" t="s">
        <v>6</v>
      </c>
      <c r="B16" s="2" t="s">
        <v>149</v>
      </c>
      <c r="C16" s="3" t="n">
        <v>10</v>
      </c>
      <c r="D16" s="3" t="n">
        <v>30</v>
      </c>
      <c r="E16" s="4" t="n">
        <f>46296.6745384111 + (VLOOKUP($B$1,TimeZones!$A$1:$C$28,2,FALSE))/24</f>
        <v>46296.84120507774</v>
      </c>
      <c r="F16" s="4" t="n">
        <f>46296.6814048777 + (VLOOKUP($B$1,TimeZones!$A$1:$C$28,2,FALSE))/24</f>
        <v>46296.84807154441</v>
      </c>
      <c r="G16" s="2" t="s">
        <v>0</v>
      </c>
    </row>
    <row collapsed="false" customFormat="true" customHeight="false" hidden="false" outlineLevel="0" r="17">
      <c r="A17" s="2" t="s">
        <v>11</v>
      </c>
      <c r="B17" s="2" t="s">
        <v>119</v>
      </c>
      <c r="C17" s="3" t="n">
        <v>6</v>
      </c>
      <c r="D17" s="3" t="n">
        <v>30</v>
      </c>
      <c r="E17" s="4" t="n">
        <f>46296.6037887994 + (VLOOKUP($B$1,TimeZones!$A$1:$C$28,2,FALSE))/24</f>
        <v>46296.77045546609</v>
      </c>
      <c r="F17" s="4" t="n">
        <f>46296.6190779412 + (VLOOKUP($B$1,TimeZones!$A$1:$C$28,2,FALSE))/24</f>
        <v>46296.78574460789</v>
      </c>
      <c r="G17" s="2" t="s">
        <v>0</v>
      </c>
    </row>
    <row collapsed="false" customFormat="true" customHeight="false" hidden="false" outlineLevel="0" r="18">
      <c r="A18" s="2" t="s">
        <v>17</v>
      </c>
      <c r="B18" s="2" t="s">
        <v>171</v>
      </c>
      <c r="C18" s="3" t="n">
        <v>2</v>
      </c>
      <c r="D18" s="3" t="n">
        <v>30</v>
      </c>
      <c r="E18" s="4" t="n">
        <f>46296.4180926668 + (VLOOKUP($B$1,TimeZones!$A$1:$C$28,2,FALSE))/24</f>
        <v>46296.58475933345</v>
      </c>
      <c r="F18" s="4" t="n">
        <f>46296.4247186036 + (VLOOKUP($B$1,TimeZones!$A$1:$C$28,2,FALSE))/24</f>
        <v>46296.59138527024</v>
      </c>
      <c r="G18" s="2" t="s">
        <v>0</v>
      </c>
    </row>
    <row collapsed="false" customFormat="true" customHeight="false" hidden="false" outlineLevel="0" r="19">
      <c r="A19" s="2" t="s">
        <v>3</v>
      </c>
      <c r="B19" s="2" t="s">
        <v>104</v>
      </c>
      <c r="C19" s="3" t="n">
        <v>1</v>
      </c>
      <c r="D19" s="3" t="n">
        <v>30</v>
      </c>
      <c r="E19" s="4" t="n">
        <f>46296.6372617094 + (VLOOKUP($B$1,TimeZones!$A$1:$C$28,2,FALSE))/24</f>
        <v>46296.803928376095</v>
      </c>
      <c r="F19" s="4" t="n">
        <f>46296.6456807352 + (VLOOKUP($B$1,TimeZones!$A$1:$C$28,2,FALSE))/24</f>
        <v>46296.81234740183</v>
      </c>
      <c r="G19" s="2" t="s">
        <v>0</v>
      </c>
    </row>
    <row collapsed="false" customFormat="true" customHeight="false" hidden="false" outlineLevel="0" r="20">
      <c r="A20" s="2" t="s">
        <v>10</v>
      </c>
      <c r="B20" s="2" t="s">
        <v>152</v>
      </c>
      <c r="C20" s="3" t="n">
        <v>1</v>
      </c>
      <c r="D20" s="3" t="n">
        <v>30</v>
      </c>
      <c r="E20" s="4" t="n">
        <f>46296.7325508863 + (VLOOKUP($B$1,TimeZones!$A$1:$C$28,2,FALSE))/24</f>
        <v>46296.89921755295</v>
      </c>
      <c r="F20" s="4" t="n">
        <f>46296.7472159128 + (VLOOKUP($B$1,TimeZones!$A$1:$C$28,2,FALSE))/24</f>
        <v>46296.91388257943</v>
      </c>
      <c r="G20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187</v>
      </c>
      <c r="B1" s="2" t="s">
        <v>76</v>
      </c>
    </row>
    <row collapsed="false" customFormat="true" customHeight="false" hidden="false" outlineLevel="0" r="3">
      <c r="A3" s="1" t="s">
        <v>125</v>
      </c>
      <c r="B3" s="1" t="s">
        <v>182</v>
      </c>
      <c r="C3" s="1" t="s">
        <v>140</v>
      </c>
      <c r="D3" s="1" t="s">
        <v>133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167</v>
      </c>
      <c r="H3" s="1" t="s">
        <v>98</v>
      </c>
    </row>
    <row collapsed="false" customFormat="true" customHeight="false" hidden="false" outlineLevel="0" r="4">
      <c r="A4" s="2" t="s">
        <v>44</v>
      </c>
      <c r="B4" s="2" t="s">
        <v>83</v>
      </c>
      <c r="C4" s="3" t="n">
        <v>28</v>
      </c>
      <c r="D4" s="3" t="n">
        <v>30</v>
      </c>
      <c r="E4" s="4" t="n">
        <f>46296.7083794522 + (VLOOKUP($B$1,TimeZones!$A$1:$C$28,2,FALSE))/24</f>
        <v>46296.87504611884</v>
      </c>
      <c r="F4" s="4" t="n">
        <f>46296.7303064231 + (VLOOKUP($B$1,TimeZones!$A$1:$C$28,2,FALSE))/24</f>
        <v>46296.89697308975</v>
      </c>
      <c r="G4" s="2" t="s">
        <v>0</v>
      </c>
    </row>
    <row collapsed="false" customFormat="true" customHeight="false" hidden="false" outlineLevel="0" r="5">
      <c r="A5" s="2" t="s">
        <v>48</v>
      </c>
      <c r="B5" s="2" t="s">
        <v>86</v>
      </c>
      <c r="C5" s="3" t="n">
        <v>28</v>
      </c>
      <c r="D5" s="3" t="n">
        <v>30</v>
      </c>
      <c r="E5" s="4" t="n">
        <f>46296.7138687388 + (VLOOKUP($B$1,TimeZones!$A$1:$C$28,2,FALSE))/24</f>
        <v>46296.88053540545</v>
      </c>
      <c r="F5" s="4" t="n">
        <f>46296.7237617574 + (VLOOKUP($B$1,TimeZones!$A$1:$C$28,2,FALSE))/24</f>
        <v>46296.89042842406</v>
      </c>
      <c r="G5" s="2" t="s">
        <v>0</v>
      </c>
    </row>
    <row collapsed="false" customFormat="true" customHeight="false" hidden="false" outlineLevel="0" r="6">
      <c r="A6" s="2" t="s">
        <v>27</v>
      </c>
      <c r="B6" s="2" t="s">
        <v>193</v>
      </c>
      <c r="C6" s="3" t="n">
        <v>28</v>
      </c>
      <c r="D6" s="3" t="n">
        <v>30</v>
      </c>
      <c r="E6" s="4" t="n">
        <f>46296.4621957960 + (VLOOKUP($B$1,TimeZones!$A$1:$C$28,2,FALSE))/24</f>
        <v>46296.62886246266</v>
      </c>
      <c r="F6" s="4" t="n">
        <f>46296.4689083168 + (VLOOKUP($B$1,TimeZones!$A$1:$C$28,2,FALSE))/24</f>
        <v>46296.63557498347</v>
      </c>
      <c r="G6" s="2" t="s">
        <v>0</v>
      </c>
    </row>
    <row collapsed="false" customFormat="true" customHeight="false" hidden="false" outlineLevel="0" r="7">
      <c r="A7" s="2" t="s">
        <v>32</v>
      </c>
      <c r="B7" s="2" t="s">
        <v>77</v>
      </c>
      <c r="C7" s="3" t="n">
        <v>26</v>
      </c>
      <c r="D7" s="3" t="n">
        <v>30</v>
      </c>
      <c r="E7" s="4" t="n">
        <f>46296.6914569598 + (VLOOKUP($B$1,TimeZones!$A$1:$C$28,2,FALSE))/24</f>
        <v>46296.8581236265</v>
      </c>
      <c r="F7" s="4" t="n">
        <f>46296.6982674167 + (VLOOKUP($B$1,TimeZones!$A$1:$C$28,2,FALSE))/24</f>
        <v>46296.864934083365</v>
      </c>
      <c r="G7" s="2" t="s">
        <v>0</v>
      </c>
    </row>
    <row collapsed="false" customFormat="true" customHeight="false" hidden="false" outlineLevel="0" r="8">
      <c r="A8" s="2" t="s">
        <v>25</v>
      </c>
      <c r="B8" s="2" t="s">
        <v>194</v>
      </c>
      <c r="C8" s="3" t="n">
        <v>26</v>
      </c>
      <c r="D8" s="3" t="n">
        <v>30</v>
      </c>
      <c r="E8" s="4" t="n">
        <f>46296.6107354130 + (VLOOKUP($B$1,TimeZones!$A$1:$C$28,2,FALSE))/24</f>
        <v>46296.777402079664</v>
      </c>
      <c r="F8" s="4" t="n">
        <f>46296.6211817942 + (VLOOKUP($B$1,TimeZones!$A$1:$C$28,2,FALSE))/24</f>
        <v>46296.78784846091</v>
      </c>
      <c r="G8" s="2" t="s">
        <v>0</v>
      </c>
    </row>
    <row collapsed="false" customFormat="true" customHeight="false" hidden="false" outlineLevel="0" r="9">
      <c r="A9" s="2" t="s">
        <v>41</v>
      </c>
      <c r="B9" s="2" t="s">
        <v>71</v>
      </c>
      <c r="C9" s="3" t="n">
        <v>24</v>
      </c>
      <c r="D9" s="3" t="n">
        <v>30</v>
      </c>
      <c r="E9" s="4" t="n">
        <f>46296.5650818445 + (VLOOKUP($B$1,TimeZones!$A$1:$C$28,2,FALSE))/24</f>
        <v>46296.73174851119</v>
      </c>
      <c r="F9" s="4" t="n">
        <f>46296.5907415539 + (VLOOKUP($B$1,TimeZones!$A$1:$C$28,2,FALSE))/24</f>
        <v>46296.7574082206</v>
      </c>
      <c r="G9" s="2" t="s">
        <v>0</v>
      </c>
    </row>
    <row collapsed="false" customFormat="true" customHeight="false" hidden="false" outlineLevel="0" r="10">
      <c r="A10" s="2" t="s">
        <v>28</v>
      </c>
      <c r="B10" s="2" t="s">
        <v>95</v>
      </c>
      <c r="C10" s="3" t="n">
        <v>22</v>
      </c>
      <c r="D10" s="3" t="n">
        <v>30</v>
      </c>
      <c r="E10" s="4" t="n">
        <f>46296.7237565636 + (VLOOKUP($B$1,TimeZones!$A$1:$C$28,2,FALSE))/24</f>
        <v>46296.89042323024</v>
      </c>
      <c r="F10" s="4" t="n">
        <f>46296.7385030688 + (VLOOKUP($B$1,TimeZones!$A$1:$C$28,2,FALSE))/24</f>
        <v>46296.90516973551</v>
      </c>
      <c r="G10" s="2" t="s">
        <v>0</v>
      </c>
    </row>
    <row collapsed="false" customFormat="true" customHeight="false" hidden="false" outlineLevel="0" r="11">
      <c r="A11" s="2" t="s">
        <v>29</v>
      </c>
      <c r="B11" s="2" t="s">
        <v>123</v>
      </c>
      <c r="C11" s="3" t="n">
        <v>22</v>
      </c>
      <c r="D11" s="3" t="n">
        <v>30</v>
      </c>
      <c r="E11" s="4" t="n">
        <f>46296.6372731305 + (VLOOKUP($B$1,TimeZones!$A$1:$C$28,2,FALSE))/24</f>
        <v>46296.80393979716</v>
      </c>
      <c r="F11" s="4" t="n">
        <f>46296.6554642235 + (VLOOKUP($B$1,TimeZones!$A$1:$C$28,2,FALSE))/24</f>
        <v>46296.82213089016</v>
      </c>
      <c r="G11" s="2" t="s">
        <v>0</v>
      </c>
    </row>
    <row collapsed="false" customFormat="true" customHeight="false" hidden="false" outlineLevel="0" r="12">
      <c r="A12" s="2" t="s">
        <v>50</v>
      </c>
      <c r="B12" s="2" t="s">
        <v>170</v>
      </c>
      <c r="C12" s="3" t="n">
        <v>22</v>
      </c>
      <c r="D12" s="3" t="n">
        <v>30</v>
      </c>
      <c r="E12" s="4" t="n">
        <f>46296.6725849405 + (VLOOKUP($B$1,TimeZones!$A$1:$C$28,2,FALSE))/24</f>
        <v>46296.839251607125</v>
      </c>
      <c r="F12" s="4" t="n">
        <f>46296.7063913593 + (VLOOKUP($B$1,TimeZones!$A$1:$C$28,2,FALSE))/24</f>
        <v>46296.87305802598</v>
      </c>
      <c r="G12" s="2" t="s">
        <v>0</v>
      </c>
    </row>
    <row collapsed="false" customFormat="true" customHeight="false" hidden="false" outlineLevel="0" r="13">
      <c r="A13" s="2" t="s">
        <v>30</v>
      </c>
      <c r="B13" s="2" t="s">
        <v>184</v>
      </c>
      <c r="C13" s="3" t="n">
        <v>22</v>
      </c>
      <c r="D13" s="3" t="n">
        <v>30</v>
      </c>
      <c r="E13" s="4" t="n">
        <f>46296.6290940028 + (VLOOKUP($B$1,TimeZones!$A$1:$C$28,2,FALSE))/24</f>
        <v>46296.79576066942</v>
      </c>
      <c r="F13" s="4" t="n">
        <f>46296.6431464199 + (VLOOKUP($B$1,TimeZones!$A$1:$C$28,2,FALSE))/24</f>
        <v>46296.809813086584</v>
      </c>
      <c r="G13" s="2" t="s">
        <v>0</v>
      </c>
    </row>
    <row collapsed="false" customFormat="true" customHeight="false" hidden="false" outlineLevel="0" r="14">
      <c r="A14" s="2" t="s">
        <v>21</v>
      </c>
      <c r="B14" s="2" t="s">
        <v>190</v>
      </c>
      <c r="C14" s="3" t="n">
        <v>20</v>
      </c>
      <c r="D14" s="3" t="n">
        <v>30</v>
      </c>
      <c r="E14" s="4" t="n">
        <f>46296.7071866512 + (VLOOKUP($B$1,TimeZones!$A$1:$C$28,2,FALSE))/24</f>
        <v>46296.87385331781</v>
      </c>
      <c r="F14" s="4" t="n">
        <f>46296.7500000000 + (VLOOKUP($B$1,TimeZones!$A$1:$C$28,2,FALSE))/24</f>
        <v>46296.916666666664</v>
      </c>
      <c r="G14" s="2" t="s">
        <v>0</v>
      </c>
    </row>
    <row collapsed="false" customFormat="true" customHeight="false" hidden="false" outlineLevel="0" r="15">
      <c r="A15" s="2" t="s">
        <v>36</v>
      </c>
      <c r="B15" s="2" t="s">
        <v>103</v>
      </c>
      <c r="C15" s="3" t="n">
        <v>17</v>
      </c>
      <c r="D15" s="3" t="n">
        <v>30</v>
      </c>
      <c r="E15" s="4" t="n">
        <f>46296.6937967992 + (VLOOKUP($B$1,TimeZones!$A$1:$C$28,2,FALSE))/24</f>
        <v>46296.86046346591</v>
      </c>
      <c r="F15" s="4" t="n">
        <f>46296.7169788657 + (VLOOKUP($B$1,TimeZones!$A$1:$C$28,2,FALSE))/24</f>
        <v>46296.88364553233</v>
      </c>
      <c r="G15" s="2" t="s">
        <v>0</v>
      </c>
    </row>
    <row collapsed="false" customFormat="true" customHeight="false" hidden="false" outlineLevel="0" r="16">
      <c r="A16" s="2" t="s">
        <v>26</v>
      </c>
      <c r="B16" s="2" t="s">
        <v>198</v>
      </c>
      <c r="C16" s="3" t="n">
        <v>17</v>
      </c>
      <c r="D16" s="3" t="n">
        <v>30</v>
      </c>
      <c r="E16" s="4" t="n">
        <f>46296.5066456792 + (VLOOKUP($B$1,TimeZones!$A$1:$C$28,2,FALSE))/24</f>
        <v>46296.67331234581</v>
      </c>
      <c r="F16" s="4" t="n">
        <f>46296.5132939748 + (VLOOKUP($B$1,TimeZones!$A$1:$C$28,2,FALSE))/24</f>
        <v>46296.67996064144</v>
      </c>
      <c r="G16" s="2" t="s">
        <v>0</v>
      </c>
    </row>
    <row collapsed="false" customFormat="true" customHeight="false" hidden="false" outlineLevel="0" r="17">
      <c r="A17" s="2" t="s">
        <v>45</v>
      </c>
      <c r="B17" s="2" t="s">
        <v>92</v>
      </c>
      <c r="C17" s="3" t="n">
        <v>16</v>
      </c>
      <c r="D17" s="3" t="n">
        <v>30</v>
      </c>
      <c r="E17" s="4" t="n">
        <f>46296.6613767871 + (VLOOKUP($B$1,TimeZones!$A$1:$C$28,2,FALSE))/24</f>
        <v>46296.828043453796</v>
      </c>
      <c r="F17" s="4" t="n">
        <f>46296.6861102878 + (VLOOKUP($B$1,TimeZones!$A$1:$C$28,2,FALSE))/24</f>
        <v>46296.852776954416</v>
      </c>
      <c r="G17" s="2" t="s">
        <v>0</v>
      </c>
    </row>
    <row collapsed="false" customFormat="true" customHeight="false" hidden="false" outlineLevel="0" r="18">
      <c r="A18" s="2" t="s">
        <v>34</v>
      </c>
      <c r="B18" s="2" t="s">
        <v>150</v>
      </c>
      <c r="C18" s="3" t="n">
        <v>16</v>
      </c>
      <c r="D18" s="3" t="n">
        <v>30</v>
      </c>
      <c r="E18" s="4" t="n">
        <f>46296.6903770568 + (VLOOKUP($B$1,TimeZones!$A$1:$C$28,2,FALSE))/24</f>
        <v>46296.857043723496</v>
      </c>
      <c r="F18" s="4" t="n">
        <f>46296.7500000000 + (VLOOKUP($B$1,TimeZones!$A$1:$C$28,2,FALSE))/24</f>
        <v>46296.916666666664</v>
      </c>
      <c r="G18" s="2" t="s">
        <v>0</v>
      </c>
    </row>
    <row collapsed="false" customFormat="true" customHeight="false" hidden="false" outlineLevel="0" r="19">
      <c r="A19" s="2" t="s">
        <v>39</v>
      </c>
      <c r="B19" s="2" t="s">
        <v>117</v>
      </c>
      <c r="C19" s="3" t="n">
        <v>14</v>
      </c>
      <c r="D19" s="3" t="n">
        <v>30</v>
      </c>
      <c r="E19" s="4" t="n">
        <f>46296.6383682215 + (VLOOKUP($B$1,TimeZones!$A$1:$C$28,2,FALSE))/24</f>
        <v>46296.80503488812</v>
      </c>
      <c r="F19" s="4" t="n">
        <f>46296.6715037619 + (VLOOKUP($B$1,TimeZones!$A$1:$C$28,2,FALSE))/24</f>
        <v>46296.83817042861</v>
      </c>
      <c r="G19" s="2" t="s">
        <v>0</v>
      </c>
    </row>
    <row collapsed="false" customFormat="true" customHeight="false" hidden="false" outlineLevel="0" r="20">
      <c r="A20" s="2" t="s">
        <v>42</v>
      </c>
      <c r="B20" s="2" t="s">
        <v>153</v>
      </c>
      <c r="C20" s="3" t="n">
        <v>12</v>
      </c>
      <c r="D20" s="3" t="n">
        <v>30</v>
      </c>
      <c r="E20" s="4" t="n">
        <f>46296.4493731170 + (VLOOKUP($B$1,TimeZones!$A$1:$C$28,2,FALSE))/24</f>
        <v>46296.616039783716</v>
      </c>
      <c r="F20" s="4" t="n">
        <f>46296.4592254432 + (VLOOKUP($B$1,TimeZones!$A$1:$C$28,2,FALSE))/24</f>
        <v>46296.625892109834</v>
      </c>
      <c r="G20" s="2" t="s">
        <v>0</v>
      </c>
    </row>
    <row collapsed="false" customFormat="true" customHeight="false" hidden="false" outlineLevel="0" r="21">
      <c r="A21" s="2" t="s">
        <v>35</v>
      </c>
      <c r="B21" s="2" t="s">
        <v>197</v>
      </c>
      <c r="C21" s="3" t="n">
        <v>12</v>
      </c>
      <c r="D21" s="3" t="n">
        <v>30</v>
      </c>
      <c r="E21" s="4" t="n">
        <f>46296.5070372521 + (VLOOKUP($B$1,TimeZones!$A$1:$C$28,2,FALSE))/24</f>
        <v>46296.67370391881</v>
      </c>
      <c r="F21" s="4" t="n">
        <f>46296.5408014684 + (VLOOKUP($B$1,TimeZones!$A$1:$C$28,2,FALSE))/24</f>
        <v>46296.70746813502</v>
      </c>
      <c r="G21" s="2" t="s">
        <v>0</v>
      </c>
    </row>
    <row collapsed="false" customFormat="true" customHeight="false" hidden="false" outlineLevel="0" r="22">
      <c r="A22" s="2" t="s">
        <v>38</v>
      </c>
      <c r="B22" s="2" t="s">
        <v>81</v>
      </c>
      <c r="C22" s="3" t="n">
        <v>11</v>
      </c>
      <c r="D22" s="3" t="n">
        <v>30</v>
      </c>
      <c r="E22" s="4" t="n">
        <f>46296.6343985676 + (VLOOKUP($B$1,TimeZones!$A$1:$C$28,2,FALSE))/24</f>
        <v>46296.80106523421</v>
      </c>
      <c r="F22" s="4" t="n">
        <f>46296.6406495402 + (VLOOKUP($B$1,TimeZones!$A$1:$C$28,2,FALSE))/24</f>
        <v>46296.80731620686</v>
      </c>
      <c r="G22" s="2" t="s">
        <v>0</v>
      </c>
    </row>
    <row collapsed="false" customFormat="true" customHeight="false" hidden="false" outlineLevel="0" r="23">
      <c r="A23" s="2" t="s">
        <v>23</v>
      </c>
      <c r="B23" s="2" t="s">
        <v>91</v>
      </c>
      <c r="C23" s="3" t="n">
        <v>11</v>
      </c>
      <c r="D23" s="3" t="n">
        <v>30</v>
      </c>
      <c r="E23" s="4" t="n">
        <f>46296.5410343112 + (VLOOKUP($B$1,TimeZones!$A$1:$C$28,2,FALSE))/24</f>
        <v>46296.70770097784</v>
      </c>
      <c r="F23" s="4" t="n">
        <f>46296.5566208631 + (VLOOKUP($B$1,TimeZones!$A$1:$C$28,2,FALSE))/24</f>
        <v>46296.72328752974</v>
      </c>
      <c r="G23" s="2" t="s">
        <v>0</v>
      </c>
    </row>
    <row collapsed="false" customFormat="true" customHeight="false" hidden="false" outlineLevel="0" r="24">
      <c r="A24" s="2" t="s">
        <v>52</v>
      </c>
      <c r="B24" s="2" t="s">
        <v>130</v>
      </c>
      <c r="C24" s="3" t="n">
        <v>9</v>
      </c>
      <c r="D24" s="3" t="n">
        <v>30</v>
      </c>
      <c r="E24" s="4" t="n">
        <f>46296.4758848127 + (VLOOKUP($B$1,TimeZones!$A$1:$C$28,2,FALSE))/24</f>
        <v>46296.64255147941</v>
      </c>
      <c r="F24" s="4" t="n">
        <f>46296.5026044804 + (VLOOKUP($B$1,TimeZones!$A$1:$C$28,2,FALSE))/24</f>
        <v>46296.66927114706</v>
      </c>
      <c r="G24" s="2" t="s">
        <v>0</v>
      </c>
    </row>
    <row collapsed="false" customFormat="true" customHeight="false" hidden="false" outlineLevel="0" r="25">
      <c r="A25" s="2" t="s">
        <v>40</v>
      </c>
      <c r="B25" s="2" t="s">
        <v>134</v>
      </c>
      <c r="C25" s="3" t="n">
        <v>9</v>
      </c>
      <c r="D25" s="3" t="n">
        <v>30</v>
      </c>
      <c r="E25" s="4" t="n">
        <f>46296.6112405777 + (VLOOKUP($B$1,TimeZones!$A$1:$C$28,2,FALSE))/24</f>
        <v>46296.77790724441</v>
      </c>
      <c r="F25" s="4" t="n">
        <f>46296.6231150168 + (VLOOKUP($B$1,TimeZones!$A$1:$C$28,2,FALSE))/24</f>
        <v>46296.789781683445</v>
      </c>
      <c r="G25" s="2" t="s">
        <v>0</v>
      </c>
    </row>
    <row collapsed="false" customFormat="true" customHeight="false" hidden="false" outlineLevel="0" r="26">
      <c r="A26" s="2" t="s">
        <v>22</v>
      </c>
      <c r="B26" s="2" t="s">
        <v>157</v>
      </c>
      <c r="C26" s="3" t="n">
        <v>8</v>
      </c>
      <c r="D26" s="3" t="n">
        <v>30</v>
      </c>
      <c r="E26" s="4" t="n">
        <f>46296.6691724192 + (VLOOKUP($B$1,TimeZones!$A$1:$C$28,2,FALSE))/24</f>
        <v>46296.83583908584</v>
      </c>
      <c r="F26" s="4" t="n">
        <f>46296.7316724192 + (VLOOKUP($B$1,TimeZones!$A$1:$C$28,2,FALSE))/24</f>
        <v>46296.89833908584</v>
      </c>
      <c r="G26" s="2" t="s">
        <v>0</v>
      </c>
    </row>
    <row collapsed="false" customFormat="true" customHeight="false" hidden="false" outlineLevel="0" r="27">
      <c r="A27" s="2" t="s">
        <v>19</v>
      </c>
      <c r="B27" s="2" t="s">
        <v>85</v>
      </c>
      <c r="C27" s="3" t="n">
        <v>7</v>
      </c>
      <c r="D27" s="3" t="n">
        <v>30</v>
      </c>
      <c r="E27" s="4" t="n">
        <f>46296.6966837898 + (VLOOKUP($B$1,TimeZones!$A$1:$C$28,2,FALSE))/24</f>
        <v>46296.863350456435</v>
      </c>
      <c r="F27" s="4" t="n">
        <f>46296.7018031363 + (VLOOKUP($B$1,TimeZones!$A$1:$C$28,2,FALSE))/24</f>
        <v>46296.868469802925</v>
      </c>
      <c r="G27" s="2" t="s">
        <v>0</v>
      </c>
    </row>
    <row collapsed="false" customFormat="true" customHeight="false" hidden="false" outlineLevel="0" r="28">
      <c r="A28" s="2" t="s">
        <v>49</v>
      </c>
      <c r="B28" s="2" t="s">
        <v>135</v>
      </c>
      <c r="C28" s="3" t="n">
        <v>7</v>
      </c>
      <c r="D28" s="3" t="n">
        <v>30</v>
      </c>
      <c r="E28" s="4" t="n">
        <f>46296.7033967717 + (VLOOKUP($B$1,TimeZones!$A$1:$C$28,2,FALSE))/24</f>
        <v>46296.87006343833</v>
      </c>
      <c r="F28" s="4" t="n">
        <f>46296.7104751513 + (VLOOKUP($B$1,TimeZones!$A$1:$C$28,2,FALSE))/24</f>
        <v>46296.877141817975</v>
      </c>
      <c r="G28" s="2" t="s">
        <v>0</v>
      </c>
    </row>
    <row collapsed="false" customFormat="true" customHeight="false" hidden="false" outlineLevel="0" r="29">
      <c r="A29" s="2" t="s">
        <v>46</v>
      </c>
      <c r="B29" s="2" t="s">
        <v>172</v>
      </c>
      <c r="C29" s="3" t="n">
        <v>7</v>
      </c>
      <c r="D29" s="3" t="n">
        <v>30</v>
      </c>
      <c r="E29" s="4" t="n">
        <f>46296.6389652738 + (VLOOKUP($B$1,TimeZones!$A$1:$C$28,2,FALSE))/24</f>
        <v>46296.805631940464</v>
      </c>
      <c r="F29" s="4" t="n">
        <f>46296.6430229871 + (VLOOKUP($B$1,TimeZones!$A$1:$C$28,2,FALSE))/24</f>
        <v>46296.8096896538</v>
      </c>
      <c r="G29" s="2" t="s">
        <v>0</v>
      </c>
    </row>
    <row collapsed="false" customFormat="true" customHeight="false" hidden="false" outlineLevel="0" r="30">
      <c r="A30" s="2" t="s">
        <v>18</v>
      </c>
      <c r="B30" s="2" t="s">
        <v>100</v>
      </c>
      <c r="C30" s="3" t="n">
        <v>6</v>
      </c>
      <c r="D30" s="3" t="n">
        <v>30</v>
      </c>
      <c r="E30" s="4" t="n">
        <f>46296.6178398350 + (VLOOKUP($B$1,TimeZones!$A$1:$C$28,2,FALSE))/24</f>
        <v>46296.784506501695</v>
      </c>
      <c r="F30" s="4" t="n">
        <f>46296.6389506396 + (VLOOKUP($B$1,TimeZones!$A$1:$C$28,2,FALSE))/24</f>
        <v>46296.80561730627</v>
      </c>
      <c r="G30" s="2" t="s">
        <v>0</v>
      </c>
    </row>
    <row collapsed="false" customFormat="true" customHeight="false" hidden="false" outlineLevel="0" r="31">
      <c r="A31" s="2" t="s">
        <v>43</v>
      </c>
      <c r="B31" s="2" t="s">
        <v>127</v>
      </c>
      <c r="C31" s="3" t="n">
        <v>6</v>
      </c>
      <c r="D31" s="3" t="n">
        <v>30</v>
      </c>
      <c r="E31" s="4" t="n">
        <f>46296.6577645628 + (VLOOKUP($B$1,TimeZones!$A$1:$C$28,2,FALSE))/24</f>
        <v>46296.824431229456</v>
      </c>
      <c r="F31" s="4" t="n">
        <f>46296.6954442789 + (VLOOKUP($B$1,TimeZones!$A$1:$C$28,2,FALSE))/24</f>
        <v>46296.86211094556</v>
      </c>
      <c r="G31" s="2" t="s">
        <v>0</v>
      </c>
    </row>
    <row collapsed="false" customFormat="true" customHeight="false" hidden="false" outlineLevel="0" r="32">
      <c r="A32" s="2" t="s">
        <v>37</v>
      </c>
      <c r="B32" s="2" t="s">
        <v>120</v>
      </c>
      <c r="C32" s="3" t="n">
        <v>4</v>
      </c>
      <c r="D32" s="3" t="n">
        <v>30</v>
      </c>
      <c r="E32" s="4" t="n">
        <f>46296.7383954567 + (VLOOKUP($B$1,TimeZones!$A$1:$C$28,2,FALSE))/24</f>
        <v>46296.90506212332</v>
      </c>
      <c r="F32" s="4" t="n">
        <f>46296.7413376105 + (VLOOKUP($B$1,TimeZones!$A$1:$C$28,2,FALSE))/24</f>
        <v>46296.90800427714</v>
      </c>
      <c r="G32" s="2" t="s">
        <v>0</v>
      </c>
    </row>
    <row collapsed="false" customFormat="true" customHeight="false" hidden="false" outlineLevel="0" r="33">
      <c r="A33" s="2" t="s">
        <v>24</v>
      </c>
      <c r="B33" s="2" t="s">
        <v>124</v>
      </c>
      <c r="C33" s="3" t="n">
        <v>4</v>
      </c>
      <c r="D33" s="3" t="n">
        <v>30</v>
      </c>
      <c r="E33" s="4" t="n">
        <f>46296.6556512377 + (VLOOKUP($B$1,TimeZones!$A$1:$C$28,2,FALSE))/24</f>
        <v>46296.82231790436</v>
      </c>
      <c r="F33" s="4" t="n">
        <f>46296.6682267067 + (VLOOKUP($B$1,TimeZones!$A$1:$C$28,2,FALSE))/24</f>
        <v>46296.83489337332</v>
      </c>
      <c r="G33" s="2" t="s">
        <v>0</v>
      </c>
    </row>
    <row collapsed="false" customFormat="true" customHeight="false" hidden="false" outlineLevel="0" r="34">
      <c r="A34" s="2" t="s">
        <v>51</v>
      </c>
      <c r="B34" s="2" t="s">
        <v>148</v>
      </c>
      <c r="C34" s="3" t="n">
        <v>4</v>
      </c>
      <c r="D34" s="3" t="n">
        <v>30</v>
      </c>
      <c r="E34" s="4" t="n">
        <f>46296.5423380956 + (VLOOKUP($B$1,TimeZones!$A$1:$C$28,2,FALSE))/24</f>
        <v>46296.70900476221</v>
      </c>
      <c r="F34" s="4" t="n">
        <f>46296.5467651633 + (VLOOKUP($B$1,TimeZones!$A$1:$C$28,2,FALSE))/24</f>
        <v>46296.71343182994</v>
      </c>
      <c r="G34" s="2" t="s">
        <v>0</v>
      </c>
    </row>
    <row collapsed="false" customFormat="true" customHeight="false" hidden="false" outlineLevel="0" r="35">
      <c r="A35" s="2" t="s">
        <v>20</v>
      </c>
      <c r="B35" s="2" t="s">
        <v>154</v>
      </c>
      <c r="C35" s="3" t="n">
        <v>4</v>
      </c>
      <c r="D35" s="3" t="n">
        <v>30</v>
      </c>
      <c r="E35" s="4" t="n">
        <f>46296.5681124523 + (VLOOKUP($B$1,TimeZones!$A$1:$C$28,2,FALSE))/24</f>
        <v>46296.73477911898</v>
      </c>
      <c r="F35" s="4" t="n">
        <f>46296.5810636257 + (VLOOKUP($B$1,TimeZones!$A$1:$C$28,2,FALSE))/24</f>
        <v>46296.747730292394</v>
      </c>
      <c r="G35" s="2" t="s">
        <v>0</v>
      </c>
    </row>
    <row collapsed="false" customFormat="true" customHeight="false" hidden="false" outlineLevel="0" r="36">
      <c r="A36" s="2" t="s">
        <v>33</v>
      </c>
      <c r="B36" s="2" t="s">
        <v>147</v>
      </c>
      <c r="C36" s="3" t="n">
        <v>2</v>
      </c>
      <c r="D36" s="3" t="n">
        <v>30</v>
      </c>
      <c r="E36" s="4" t="n">
        <f>46296.7142165124 + (VLOOKUP($B$1,TimeZones!$A$1:$C$28,2,FALSE))/24</f>
        <v>46296.88088317902</v>
      </c>
      <c r="F36" s="4" t="n">
        <f>46296.7206705442 + (VLOOKUP($B$1,TimeZones!$A$1:$C$28,2,FALSE))/24</f>
        <v>46296.88733721091</v>
      </c>
      <c r="G36" s="2" t="s">
        <v>0</v>
      </c>
    </row>
    <row collapsed="false" customFormat="true" customHeight="false" hidden="false" outlineLevel="0" r="37">
      <c r="A37" s="2" t="s">
        <v>31</v>
      </c>
      <c r="B37" s="2" t="s">
        <v>80</v>
      </c>
      <c r="C37" s="3" t="n">
        <v>0</v>
      </c>
      <c r="D37" s="3" t="n">
        <v>30</v>
      </c>
      <c r="E37" s="4" t="n">
        <f>46296.5586492129 + (VLOOKUP($B$1,TimeZones!$A$1:$C$28,2,FALSE))/24</f>
        <v>46296.72531587957</v>
      </c>
      <c r="F37" s="4" t="n">
        <f>46296.5646331333 + (VLOOKUP($B$1,TimeZones!$A$1:$C$28,2,FALSE))/24</f>
        <v>46296.731299799925</v>
      </c>
      <c r="G37" s="2" t="s">
        <v>0</v>
      </c>
    </row>
    <row collapsed="false" customFormat="true" customHeight="false" hidden="false" outlineLevel="0" r="38">
      <c r="A38" s="2" t="s">
        <v>47</v>
      </c>
      <c r="B38" s="2" t="s">
        <v>96</v>
      </c>
      <c r="C38" s="3" t="n">
        <v>0</v>
      </c>
      <c r="D38" s="3" t="n">
        <v>30</v>
      </c>
      <c r="E38" s="4" t="n">
        <f>46296.7495528617 + (VLOOKUP($B$1,TimeZones!$A$1:$C$28,2,FALSE))/24</f>
        <v>46296.91621952836</v>
      </c>
      <c r="F38" s="4" t="n">
        <f>46296.7500000000 + (VLOOKUP($B$1,TimeZones!$A$1:$C$28,2,FALSE))/24</f>
        <v>46296.916666666664</v>
      </c>
      <c r="G38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187</v>
      </c>
      <c r="B1" s="2" t="s">
        <v>76</v>
      </c>
    </row>
    <row collapsed="false" customFormat="true" customHeight="false" hidden="false" outlineLevel="0" r="3">
      <c r="A3" s="1" t="s">
        <v>125</v>
      </c>
      <c r="B3" s="1" t="s">
        <v>182</v>
      </c>
      <c r="C3" s="1" t="s">
        <v>140</v>
      </c>
      <c r="D3" s="1" t="s">
        <v>133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167</v>
      </c>
      <c r="H3" s="1" t="s">
        <v>98</v>
      </c>
    </row>
    <row collapsed="false" customFormat="true" customHeight="false" hidden="false" outlineLevel="0" r="4">
      <c r="A4" s="2" t="s">
        <v>53</v>
      </c>
      <c r="B4" s="2" t="s">
        <v>102</v>
      </c>
      <c r="C4" s="3" t="n">
        <v>23</v>
      </c>
      <c r="D4" s="3" t="n">
        <v>30</v>
      </c>
      <c r="E4" s="4" t="n">
        <f>46296.5657888930 + (VLOOKUP($B$1,TimeZones!$A$1:$C$28,2,FALSE))/24</f>
        <v>46296.73245555967</v>
      </c>
      <c r="F4" s="4" t="n">
        <f>46296.5891987794 + (VLOOKUP($B$1,TimeZones!$A$1:$C$28,2,FALSE))/24</f>
        <v>46296.755865446015</v>
      </c>
      <c r="G4" s="2" t="s">
        <v>0</v>
      </c>
    </row>
    <row collapsed="false" customFormat="true" customHeight="false" hidden="false" outlineLevel="0" r="5">
      <c r="A5" s="2" t="s">
        <v>58</v>
      </c>
      <c r="B5" s="2" t="s">
        <v>74</v>
      </c>
      <c r="C5" s="3" t="n">
        <v>13</v>
      </c>
      <c r="D5" s="3" t="n">
        <v>30</v>
      </c>
      <c r="E5" s="4" t="n">
        <f>46296.6759649872 + (VLOOKUP($B$1,TimeZones!$A$1:$C$28,2,FALSE))/24</f>
        <v>46296.84263165391</v>
      </c>
      <c r="F5" s="4" t="n">
        <f>46296.6909062213 + (VLOOKUP($B$1,TimeZones!$A$1:$C$28,2,FALSE))/24</f>
        <v>46296.85757288797</v>
      </c>
      <c r="G5" s="2" t="s">
        <v>0</v>
      </c>
    </row>
    <row collapsed="false" customFormat="true" customHeight="false" hidden="false" outlineLevel="0" r="6">
      <c r="A6" s="2" t="s">
        <v>56</v>
      </c>
      <c r="B6" s="2" t="s">
        <v>176</v>
      </c>
      <c r="C6" s="3" t="n">
        <v>12</v>
      </c>
      <c r="D6" s="3" t="n">
        <v>30</v>
      </c>
      <c r="E6" s="4" t="n">
        <f>46296.5270600237 + (VLOOKUP($B$1,TimeZones!$A$1:$C$28,2,FALSE))/24</f>
        <v>46296.693726690355</v>
      </c>
      <c r="F6" s="4" t="n">
        <f>46296.5608698074 + (VLOOKUP($B$1,TimeZones!$A$1:$C$28,2,FALSE))/24</f>
        <v>46296.727536474034</v>
      </c>
      <c r="G6" s="2" t="s">
        <v>0</v>
      </c>
    </row>
    <row collapsed="false" customFormat="true" customHeight="false" hidden="false" outlineLevel="0" r="7">
      <c r="A7" s="2" t="s">
        <v>55</v>
      </c>
      <c r="B7" s="2" t="s">
        <v>84</v>
      </c>
      <c r="C7" s="3" t="n">
        <v>8</v>
      </c>
      <c r="D7" s="3" t="n">
        <v>30</v>
      </c>
      <c r="E7" s="4" t="n">
        <f>46296.5903334236 + (VLOOKUP($B$1,TimeZones!$A$1:$C$28,2,FALSE))/24</f>
        <v>46296.757000090285</v>
      </c>
      <c r="F7" s="4" t="n">
        <f>46296.5947163069 + (VLOOKUP($B$1,TimeZones!$A$1:$C$28,2,FALSE))/24</f>
        <v>46296.76138297353</v>
      </c>
      <c r="G7" s="2" t="s">
        <v>0</v>
      </c>
    </row>
    <row collapsed="false" customFormat="true" customHeight="false" hidden="false" outlineLevel="0" r="8">
      <c r="A8" s="2" t="s">
        <v>57</v>
      </c>
      <c r="B8" s="2" t="s">
        <v>191</v>
      </c>
      <c r="C8" s="3" t="n">
        <v>8</v>
      </c>
      <c r="D8" s="3" t="n">
        <v>30</v>
      </c>
      <c r="E8" s="4" t="n">
        <f>46296.6560552076 + (VLOOKUP($B$1,TimeZones!$A$1:$C$28,2,FALSE))/24</f>
        <v>46296.822721874305</v>
      </c>
      <c r="F8" s="4" t="n">
        <f>46296.6660112511 + (VLOOKUP($B$1,TimeZones!$A$1:$C$28,2,FALSE))/24</f>
        <v>46296.83267791773</v>
      </c>
      <c r="G8" s="2" t="s">
        <v>0</v>
      </c>
    </row>
    <row collapsed="false" customFormat="true" customHeight="false" hidden="false" outlineLevel="0" r="9">
      <c r="A9" s="2" t="s">
        <v>54</v>
      </c>
      <c r="B9" s="2" t="s">
        <v>199</v>
      </c>
      <c r="C9" s="3" t="n">
        <v>6</v>
      </c>
      <c r="D9" s="3" t="n">
        <v>30</v>
      </c>
      <c r="E9" s="4" t="n">
        <f>46296.6581018490 + (VLOOKUP($B$1,TimeZones!$A$1:$C$28,2,FALSE))/24</f>
        <v>46296.82476851568</v>
      </c>
      <c r="F9" s="4" t="n">
        <f>46296.6656291883 + (VLOOKUP($B$1,TimeZones!$A$1:$C$28,2,FALSE))/24</f>
        <v>46296.83229585498</v>
      </c>
      <c r="G9" s="2" t="s">
        <v>0</v>
      </c>
    </row>
    <row collapsed="false" customFormat="true" customHeight="false" hidden="false" outlineLevel="0" r="10">
      <c r="A10" s="2" t="s">
        <v>60</v>
      </c>
      <c r="B10" s="2" t="s">
        <v>126</v>
      </c>
      <c r="C10" s="3" t="n">
        <v>5</v>
      </c>
      <c r="D10" s="3" t="n">
        <v>30</v>
      </c>
      <c r="E10" s="4" t="n">
        <f>46296.7058704086 + (VLOOKUP($B$1,TimeZones!$A$1:$C$28,2,FALSE))/24</f>
        <v>46296.8725370753</v>
      </c>
      <c r="F10" s="4" t="n">
        <f>46296.7259689115 + (VLOOKUP($B$1,TimeZones!$A$1:$C$28,2,FALSE))/24</f>
        <v>46296.8926355782</v>
      </c>
      <c r="G10" s="2" t="s">
        <v>0</v>
      </c>
    </row>
    <row collapsed="false" customFormat="true" customHeight="false" hidden="false" outlineLevel="0" r="11">
      <c r="A11" s="2" t="s">
        <v>59</v>
      </c>
      <c r="B11" s="2" t="s">
        <v>136</v>
      </c>
      <c r="C11" s="3" t="n">
        <v>3</v>
      </c>
      <c r="D11" s="3" t="n">
        <v>30</v>
      </c>
      <c r="E11" s="4" t="n">
        <f>46296.7285749041 + (VLOOKUP($B$1,TimeZones!$A$1:$C$28,2,FALSE))/24</f>
        <v>46296.89524157076</v>
      </c>
      <c r="F11" s="4" t="n">
        <f>46296.7424522393 + (VLOOKUP($B$1,TimeZones!$A$1:$C$28,2,FALSE))/24</f>
        <v>46296.90911890593</v>
      </c>
      <c r="G11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187</v>
      </c>
      <c r="B1" s="2" t="s">
        <v>76</v>
      </c>
    </row>
    <row collapsed="false" customFormat="true" customHeight="false" hidden="false" outlineLevel="0" r="3">
      <c r="A3" s="1" t="s">
        <v>125</v>
      </c>
      <c r="B3" s="1" t="s">
        <v>182</v>
      </c>
      <c r="C3" s="1" t="s">
        <v>140</v>
      </c>
      <c r="D3" s="1" t="s">
        <v>133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167</v>
      </c>
      <c r="H3" s="1" t="s">
        <v>98</v>
      </c>
    </row>
    <row collapsed="false" customFormat="true" customHeight="false" hidden="false" outlineLevel="0" r="4">
      <c r="A4" s="2" t="s">
        <v>61</v>
      </c>
      <c r="B4" s="2" t="s">
        <v>82</v>
      </c>
      <c r="C4" s="3" t="n">
        <v>5</v>
      </c>
      <c r="D4" s="3" t="n">
        <v>30</v>
      </c>
      <c r="E4" s="4" t="n">
        <f>46296.5312028366 + (VLOOKUP($B$1,TimeZones!$A$1:$C$28,2,FALSE))/24</f>
        <v>46296.697869503296</v>
      </c>
      <c r="F4" s="4" t="n">
        <f>46296.5411222635 + (VLOOKUP($B$1,TimeZones!$A$1:$C$28,2,FALSE))/24</f>
        <v>46296.70778893018</v>
      </c>
      <c r="G4" s="2" t="s">
        <v>0</v>
      </c>
    </row>
    <row collapsed="false" customFormat="true" customHeight="false" hidden="false" outlineLevel="0" r="5">
      <c r="A5" s="2" t="s">
        <v>62</v>
      </c>
      <c r="B5" s="2" t="s">
        <v>99</v>
      </c>
      <c r="C5" s="3" t="n">
        <v>0</v>
      </c>
      <c r="D5" s="3" t="n">
        <v>30</v>
      </c>
      <c r="E5" s="4" t="n">
        <f>46296.6723472486 + (VLOOKUP($B$1,TimeZones!$A$1:$C$28,2,FALSE))/24</f>
        <v>46296.83901391528</v>
      </c>
      <c r="F5" s="4" t="n">
        <f>46296.6827319186 + (VLOOKUP($B$1,TimeZones!$A$1:$C$28,2,FALSE))/24</f>
        <v>46296.849398585226</v>
      </c>
      <c r="G5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23.2"/>
    <col customWidth="1" max="5" min="5" width="46.4"/>
    <col customWidth="1" max="6" min="6" width="46.4"/>
    <col customWidth="1" max="7" min="7" width="23.2"/>
    <col customWidth="1" max="8" min="8" width="46.4"/>
  </cols>
  <sheetData>
    <row collapsed="false" customFormat="true" customHeight="false" hidden="false" outlineLevel="0" r="1">
      <c r="A1" s="1" t="s">
        <v>187</v>
      </c>
      <c r="B1" s="2" t="s">
        <v>76</v>
      </c>
    </row>
    <row collapsed="false" customFormat="true" customHeight="false" hidden="false" outlineLevel="0" r="3">
      <c r="A3" s="1" t="s">
        <v>125</v>
      </c>
      <c r="B3" s="1" t="s">
        <v>182</v>
      </c>
      <c r="C3" s="1" t="s">
        <v>140</v>
      </c>
      <c r="D3" s="1" t="s">
        <v>133</v>
      </c>
      <c r="E3" s="1" t="str">
        <f>"Время начала сессии (" &amp; VLOOKUP($B$1,TimeZones!$A$1:$C$28,3,FALSE) &amp; ")"</f>
        <v>Время начала сессии (Астрахань)</v>
      </c>
      <c r="F3" s="1" t="str">
        <f>"Время конца сессии (" &amp; VLOOKUP($B$1,TimeZones!$A$1:$C$28,3,FALSE) &amp; ")"</f>
        <v>Время конца сессии (Астрахань)</v>
      </c>
      <c r="G3" s="1" t="s">
        <v>167</v>
      </c>
      <c r="H3" s="1" t="s">
        <v>98</v>
      </c>
    </row>
    <row collapsed="false" customFormat="true" customHeight="false" hidden="false" outlineLevel="0" r="4">
      <c r="A4" s="2" t="s">
        <v>63</v>
      </c>
      <c r="B4" s="2" t="s">
        <v>192</v>
      </c>
      <c r="C4" s="3" t="n">
        <v>21</v>
      </c>
      <c r="D4" s="3" t="n">
        <v>30</v>
      </c>
      <c r="E4" s="4" t="n">
        <f>46296.6962992960 + (VLOOKUP($B$1,TimeZones!$A$1:$C$28,2,FALSE))/24</f>
        <v>46296.86296596266</v>
      </c>
      <c r="F4" s="4" t="n">
        <f>46296.6996426568 + (VLOOKUP($B$1,TimeZones!$A$1:$C$28,2,FALSE))/24</f>
        <v>46296.866309323515</v>
      </c>
      <c r="G4" s="2" t="s">
        <v>0</v>
      </c>
    </row>
    <row collapsed="false" customFormat="true" customHeight="false" hidden="false" outlineLevel="0" r="5">
      <c r="A5" s="2" t="s">
        <v>68</v>
      </c>
      <c r="B5" s="2" t="s">
        <v>93</v>
      </c>
      <c r="C5" s="3" t="n">
        <v>16</v>
      </c>
      <c r="D5" s="3" t="n">
        <v>30</v>
      </c>
      <c r="E5" s="4" t="n">
        <f>46296.6701676865 + (VLOOKUP($B$1,TimeZones!$A$1:$C$28,2,FALSE))/24</f>
        <v>46296.83683435317</v>
      </c>
      <c r="F5" s="4" t="n">
        <f>46296.7159613979 + (VLOOKUP($B$1,TimeZones!$A$1:$C$28,2,FALSE))/24</f>
        <v>46296.8826280646</v>
      </c>
      <c r="G5" s="2" t="s">
        <v>0</v>
      </c>
    </row>
    <row collapsed="false" customFormat="true" customHeight="false" hidden="false" outlineLevel="0" r="6">
      <c r="A6" s="2" t="s">
        <v>65</v>
      </c>
      <c r="B6" s="2" t="s">
        <v>139</v>
      </c>
      <c r="C6" s="3" t="n">
        <v>12</v>
      </c>
      <c r="D6" s="3" t="n">
        <v>30</v>
      </c>
      <c r="E6" s="4" t="n">
        <f>46296.6884563532 + (VLOOKUP($B$1,TimeZones!$A$1:$C$28,2,FALSE))/24</f>
        <v>46296.85512301988</v>
      </c>
      <c r="F6" s="4" t="n">
        <f>46296.7343489308 + (VLOOKUP($B$1,TimeZones!$A$1:$C$28,2,FALSE))/24</f>
        <v>46296.90101559751</v>
      </c>
      <c r="G6" s="2" t="s">
        <v>0</v>
      </c>
    </row>
    <row collapsed="false" customFormat="true" customHeight="false" hidden="false" outlineLevel="0" r="7">
      <c r="A7" s="2" t="s">
        <v>66</v>
      </c>
      <c r="B7" s="2" t="s">
        <v>97</v>
      </c>
      <c r="C7" s="3" t="n">
        <v>10</v>
      </c>
      <c r="D7" s="3" t="n">
        <v>30</v>
      </c>
      <c r="E7" s="4" t="n">
        <f>46296.6790783806 + (VLOOKUP($B$1,TimeZones!$A$1:$C$28,2,FALSE))/24</f>
        <v>46296.84574504726</v>
      </c>
      <c r="F7" s="4" t="n">
        <f>46296.6870361666 + (VLOOKUP($B$1,TimeZones!$A$1:$C$28,2,FALSE))/24</f>
        <v>46296.85370283331</v>
      </c>
      <c r="G7" s="2" t="s">
        <v>0</v>
      </c>
    </row>
    <row collapsed="false" customFormat="true" customHeight="false" hidden="false" outlineLevel="0" r="8">
      <c r="A8" s="2" t="s">
        <v>64</v>
      </c>
      <c r="B8" s="2" t="s">
        <v>168</v>
      </c>
      <c r="C8" s="3" t="n">
        <v>6</v>
      </c>
      <c r="D8" s="3" t="n">
        <v>30</v>
      </c>
      <c r="E8" s="4" t="n">
        <f>46296.6772861999 + (VLOOKUP($B$1,TimeZones!$A$1:$C$28,2,FALSE))/24</f>
        <v>46296.843952866584</v>
      </c>
      <c r="F8" s="4" t="n">
        <f>46296.7397861999 + (VLOOKUP($B$1,TimeZones!$A$1:$C$28,2,FALSE))/24</f>
        <v>46296.906452866584</v>
      </c>
      <c r="G8" s="2" t="s">
        <v>0</v>
      </c>
    </row>
    <row collapsed="false" customFormat="true" customHeight="false" hidden="false" outlineLevel="0" r="9">
      <c r="A9" s="2" t="s">
        <v>67</v>
      </c>
      <c r="B9" s="2" t="s">
        <v>183</v>
      </c>
      <c r="C9" s="3" t="n">
        <v>2</v>
      </c>
      <c r="D9" s="3" t="n">
        <v>30</v>
      </c>
      <c r="E9" s="4" t="n">
        <f>46296.6072549041 + (VLOOKUP($B$1,TimeZones!$A$1:$C$28,2,FALSE))/24</f>
        <v>46296.773921570726</v>
      </c>
      <c r="F9" s="4" t="n">
        <f>46296.6131981457 + (VLOOKUP($B$1,TimeZones!$A$1:$C$28,2,FALSE))/24</f>
        <v>46296.77986481232</v>
      </c>
      <c r="G9" s="2" t="s">
        <v>0</v>
      </c>
    </row>
  </sheetData>
  <dataValidations>
    <dataValidation allowBlank="0" errorStyle="stop" showDropDown="0" showErrorMessage="1" showInputMessage="0" sqref="B1" type="list">
      <formula1>TimeZones!$A$1:$A$28</formula1>
    </dataValidation>
  </dataValidations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139.2"/>
    <col customWidth="1" max="2" min="2" width="34.8"/>
    <col customWidth="1" max="3" min="3" width="92.8"/>
  </cols>
  <sheetData>
    <row collapsed="false" customFormat="true" customHeight="false" hidden="false" outlineLevel="0" r="1">
      <c r="A1" s="2" t="s">
        <v>70</v>
      </c>
      <c r="B1" s="2" t="n">
        <v>0</v>
      </c>
      <c r="C1" s="2" t="s">
        <v>69</v>
      </c>
    </row>
    <row collapsed="false" customFormat="true" customHeight="false" hidden="false" outlineLevel="0" r="2">
      <c r="A2" s="2" t="s">
        <v>114</v>
      </c>
      <c r="B2" s="2" t="n">
        <v>2</v>
      </c>
      <c r="C2" s="2" t="s">
        <v>113</v>
      </c>
    </row>
    <row collapsed="false" customFormat="true" customHeight="false" hidden="false" outlineLevel="0" r="3">
      <c r="A3" s="2" t="s">
        <v>138</v>
      </c>
      <c r="B3" s="2" t="n">
        <v>3</v>
      </c>
      <c r="C3" s="2" t="s">
        <v>137</v>
      </c>
    </row>
    <row collapsed="false" customFormat="true" customHeight="false" hidden="false" outlineLevel="0" r="4">
      <c r="A4" s="2" t="s">
        <v>164</v>
      </c>
      <c r="B4" s="2" t="n">
        <v>3</v>
      </c>
      <c r="C4" s="2" t="s">
        <v>163</v>
      </c>
    </row>
    <row collapsed="false" customFormat="true" customHeight="false" hidden="false" outlineLevel="0" r="5">
      <c r="A5" s="2" t="s">
        <v>122</v>
      </c>
      <c r="B5" s="2" t="n">
        <v>3</v>
      </c>
      <c r="C5" s="2" t="s">
        <v>121</v>
      </c>
    </row>
    <row collapsed="false" customFormat="true" customHeight="false" hidden="false" outlineLevel="0" r="6">
      <c r="A6" s="2" t="s">
        <v>90</v>
      </c>
      <c r="B6" s="2" t="n">
        <v>3</v>
      </c>
      <c r="C6" s="2" t="s">
        <v>89</v>
      </c>
    </row>
    <row collapsed="false" customFormat="true" customHeight="false" hidden="false" outlineLevel="0" r="7">
      <c r="A7" s="2" t="s">
        <v>76</v>
      </c>
      <c r="B7" s="2" t="n">
        <v>4</v>
      </c>
      <c r="C7" s="2" t="s">
        <v>75</v>
      </c>
    </row>
    <row collapsed="false" customFormat="true" customHeight="false" hidden="false" outlineLevel="0" r="8">
      <c r="A8" s="2" t="s">
        <v>159</v>
      </c>
      <c r="B8" s="2" t="n">
        <v>4</v>
      </c>
      <c r="C8" s="2" t="s">
        <v>158</v>
      </c>
    </row>
    <row collapsed="false" customFormat="true" customHeight="false" hidden="false" outlineLevel="0" r="9">
      <c r="A9" s="2" t="s">
        <v>179</v>
      </c>
      <c r="B9" s="2" t="n">
        <v>4</v>
      </c>
      <c r="C9" s="2" t="s">
        <v>178</v>
      </c>
    </row>
    <row collapsed="false" customFormat="true" customHeight="false" hidden="false" outlineLevel="0" r="10">
      <c r="A10" s="2" t="s">
        <v>156</v>
      </c>
      <c r="B10" s="2" t="n">
        <v>4</v>
      </c>
      <c r="C10" s="2" t="s">
        <v>155</v>
      </c>
    </row>
    <row collapsed="false" customFormat="true" customHeight="false" hidden="false" outlineLevel="0" r="11">
      <c r="A11" s="2" t="s">
        <v>107</v>
      </c>
      <c r="B11" s="2" t="n">
        <v>5</v>
      </c>
      <c r="C11" s="2" t="s">
        <v>106</v>
      </c>
    </row>
    <row collapsed="false" customFormat="true" customHeight="false" hidden="false" outlineLevel="0" r="12">
      <c r="A12" s="2" t="s">
        <v>146</v>
      </c>
      <c r="B12" s="2" t="n">
        <v>6</v>
      </c>
      <c r="C12" s="2" t="s">
        <v>145</v>
      </c>
    </row>
    <row collapsed="false" customFormat="true" customHeight="false" hidden="false" outlineLevel="0" r="13">
      <c r="A13" s="2" t="s">
        <v>144</v>
      </c>
      <c r="B13" s="2" t="n">
        <v>7</v>
      </c>
      <c r="C13" s="2" t="s">
        <v>143</v>
      </c>
    </row>
    <row collapsed="false" customFormat="true" customHeight="false" hidden="false" outlineLevel="0" r="14">
      <c r="A14" s="2" t="s">
        <v>79</v>
      </c>
      <c r="B14" s="2" t="n">
        <v>7</v>
      </c>
      <c r="C14" s="2" t="s">
        <v>78</v>
      </c>
    </row>
    <row collapsed="false" customFormat="true" customHeight="false" hidden="false" outlineLevel="0" r="15">
      <c r="A15" s="2" t="s">
        <v>175</v>
      </c>
      <c r="B15" s="2" t="n">
        <v>7</v>
      </c>
      <c r="C15" s="2" t="s">
        <v>174</v>
      </c>
    </row>
    <row collapsed="false" customFormat="true" customHeight="false" hidden="false" outlineLevel="0" r="16">
      <c r="A16" s="2" t="s">
        <v>142</v>
      </c>
      <c r="B16" s="2" t="n">
        <v>7</v>
      </c>
      <c r="C16" s="2" t="s">
        <v>141</v>
      </c>
    </row>
    <row collapsed="false" customFormat="true" customHeight="false" hidden="false" outlineLevel="0" r="17">
      <c r="A17" s="2" t="s">
        <v>129</v>
      </c>
      <c r="B17" s="2" t="n">
        <v>7</v>
      </c>
      <c r="C17" s="2" t="s">
        <v>128</v>
      </c>
    </row>
    <row collapsed="false" customFormat="true" customHeight="false" hidden="false" outlineLevel="0" r="18">
      <c r="A18" s="2" t="s">
        <v>112</v>
      </c>
      <c r="B18" s="2" t="n">
        <v>8</v>
      </c>
      <c r="C18" s="2" t="s">
        <v>111</v>
      </c>
    </row>
    <row collapsed="false" customFormat="true" customHeight="false" hidden="false" outlineLevel="0" r="19">
      <c r="A19" s="2" t="s">
        <v>189</v>
      </c>
      <c r="B19" s="2" t="n">
        <v>9</v>
      </c>
      <c r="C19" s="2" t="s">
        <v>188</v>
      </c>
    </row>
    <row collapsed="false" customFormat="true" customHeight="false" hidden="false" outlineLevel="0" r="20">
      <c r="A20" s="2" t="s">
        <v>196</v>
      </c>
      <c r="B20" s="2" t="n">
        <v>9</v>
      </c>
      <c r="C20" s="2" t="s">
        <v>195</v>
      </c>
    </row>
    <row collapsed="false" customFormat="true" customHeight="false" hidden="false" outlineLevel="0" r="21">
      <c r="A21" s="2" t="s">
        <v>186</v>
      </c>
      <c r="B21" s="2" t="n">
        <v>9</v>
      </c>
      <c r="C21" s="2" t="s">
        <v>185</v>
      </c>
    </row>
    <row collapsed="false" customFormat="true" customHeight="false" hidden="false" outlineLevel="0" r="22">
      <c r="A22" s="2" t="s">
        <v>88</v>
      </c>
      <c r="B22" s="2" t="n">
        <v>10</v>
      </c>
      <c r="C22" s="2" t="s">
        <v>87</v>
      </c>
    </row>
    <row collapsed="false" customFormat="true" customHeight="false" hidden="false" outlineLevel="0" r="23">
      <c r="A23" s="2" t="s">
        <v>181</v>
      </c>
      <c r="B23" s="2" t="n">
        <v>10</v>
      </c>
      <c r="C23" s="2" t="s">
        <v>180</v>
      </c>
    </row>
    <row collapsed="false" customFormat="true" customHeight="false" hidden="false" outlineLevel="0" r="24">
      <c r="A24" s="2" t="s">
        <v>132</v>
      </c>
      <c r="B24" s="2" t="n">
        <v>11</v>
      </c>
      <c r="C24" s="2" t="s">
        <v>131</v>
      </c>
    </row>
    <row collapsed="false" customFormat="true" customHeight="false" hidden="false" outlineLevel="0" r="25">
      <c r="A25" s="2" t="s">
        <v>161</v>
      </c>
      <c r="B25" s="2" t="n">
        <v>11</v>
      </c>
      <c r="C25" s="2" t="s">
        <v>160</v>
      </c>
    </row>
    <row collapsed="false" customFormat="true" customHeight="false" hidden="false" outlineLevel="0" r="26">
      <c r="A26" s="2" t="s">
        <v>166</v>
      </c>
      <c r="B26" s="2" t="n">
        <v>11</v>
      </c>
      <c r="C26" s="2" t="s">
        <v>165</v>
      </c>
    </row>
    <row collapsed="false" customFormat="true" customHeight="false" hidden="false" outlineLevel="0" r="27">
      <c r="A27" s="2" t="s">
        <v>116</v>
      </c>
      <c r="B27" s="2" t="n">
        <v>12</v>
      </c>
      <c r="C27" s="2" t="s">
        <v>115</v>
      </c>
    </row>
    <row collapsed="false" customFormat="true" customHeight="false" hidden="false" outlineLevel="0" r="28">
      <c r="A28" s="2" t="s">
        <v>73</v>
      </c>
      <c r="B28" s="2" t="n">
        <v>12</v>
      </c>
      <c r="C28" s="2" t="s">
        <v>72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6</i4>
      </variant>
    </vector>
  </HeadingPairs>
  <TitlesOfParts>
    <vector xmlns="http://schemas.openxmlformats.org/officeDocument/2006/docPropsVTypes" baseType="lpstr" size="6">
      <lpstr>19493 Физика 7 класс</lpstr>
      <lpstr>19494 Физика 8 класс</lpstr>
      <lpstr>19495 Физика 9 класс</lpstr>
      <lpstr>19500 Физика 10 класс</lpstr>
      <lpstr>19503 Физика 11 класс</lpstr>
      <lpstr>TimeZones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2026-10-20T14:57:33.421637121Z</dcterms:created>
  <dc:creator>xlsxwriter</dc:creator>
  <cp:lastModifiedBy>xlsxwriter</cp:lastModifiedBy>
</cp:coreProperties>
</file>